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5" yWindow="1005" windowWidth="20730" windowHeight="7065" firstSheet="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D9" i="4" l="1"/>
  <c r="G12" i="6" l="1"/>
  <c r="G13" i="6"/>
  <c r="G14" i="6"/>
  <c r="G15" i="6"/>
  <c r="G16" i="6"/>
  <c r="G17" i="6"/>
  <c r="G11" i="6"/>
  <c r="F27" i="6"/>
  <c r="F24" i="6"/>
  <c r="E32" i="6"/>
  <c r="E30" i="6"/>
  <c r="E29" i="6"/>
  <c r="E27" i="6"/>
  <c r="E24" i="6"/>
  <c r="F22" i="6"/>
  <c r="E23" i="6"/>
  <c r="E22" i="6"/>
  <c r="E34" i="6"/>
  <c r="E35" i="6"/>
  <c r="E36" i="6"/>
  <c r="F37" i="6"/>
  <c r="E37" i="6"/>
  <c r="F41" i="6"/>
  <c r="E41" i="6"/>
  <c r="C86" i="6"/>
  <c r="C87" i="6"/>
  <c r="C88" i="6"/>
  <c r="C89" i="6"/>
  <c r="C90" i="6"/>
  <c r="C91" i="6"/>
  <c r="C92" i="6"/>
  <c r="C96" i="6"/>
  <c r="C97" i="6"/>
  <c r="C98" i="6"/>
  <c r="C99" i="6"/>
  <c r="C101" i="6"/>
  <c r="C102" i="6"/>
  <c r="C104" i="6"/>
  <c r="C107" i="6"/>
  <c r="C109" i="6"/>
  <c r="C110" i="6"/>
  <c r="C111" i="6"/>
  <c r="C112" i="6"/>
  <c r="C114" i="6"/>
  <c r="C115" i="6"/>
  <c r="C116" i="6"/>
  <c r="C117" i="6"/>
  <c r="C118" i="6"/>
  <c r="C119" i="6"/>
  <c r="C120" i="6"/>
  <c r="C121" i="6"/>
  <c r="C122" i="6"/>
  <c r="C125" i="6"/>
  <c r="C126" i="6"/>
  <c r="C127" i="6"/>
  <c r="C128" i="6"/>
  <c r="C129" i="6"/>
  <c r="C60" i="6"/>
  <c r="C61" i="6"/>
  <c r="C63" i="6"/>
  <c r="C64" i="6"/>
  <c r="C65" i="6"/>
  <c r="C66" i="6"/>
  <c r="C67" i="6"/>
  <c r="C68" i="6"/>
  <c r="C69" i="6"/>
  <c r="C70" i="6"/>
  <c r="C72" i="6"/>
  <c r="C73" i="6"/>
  <c r="C74" i="6"/>
  <c r="C76" i="6"/>
  <c r="C77" i="6"/>
  <c r="C78" i="6"/>
  <c r="C79" i="6"/>
  <c r="C80" i="6"/>
  <c r="C81" i="6"/>
  <c r="C82" i="6"/>
  <c r="C50" i="6"/>
  <c r="C52" i="6"/>
  <c r="C53" i="6"/>
  <c r="C55" i="6"/>
  <c r="C56" i="6"/>
  <c r="C57" i="6"/>
  <c r="C59" i="6"/>
  <c r="D49" i="6"/>
  <c r="C49" i="6" s="1"/>
  <c r="D41" i="6"/>
  <c r="C41" i="6" s="1"/>
  <c r="C30" i="6"/>
  <c r="C36" i="6"/>
  <c r="C21" i="6"/>
  <c r="C26" i="6"/>
  <c r="C12" i="6"/>
  <c r="C13" i="6"/>
  <c r="C14" i="6"/>
  <c r="C15" i="6"/>
  <c r="C16" i="6"/>
  <c r="C17" i="6"/>
  <c r="C11" i="6"/>
  <c r="D54" i="6"/>
  <c r="C54" i="6" s="1"/>
  <c r="D51" i="6"/>
  <c r="C51" i="6" s="1"/>
  <c r="D37" i="6"/>
  <c r="C37" i="6" s="1"/>
  <c r="D36" i="6"/>
  <c r="D35" i="6"/>
  <c r="C35" i="6" s="1"/>
  <c r="D34" i="6"/>
  <c r="C34" i="6" s="1"/>
  <c r="D33" i="6"/>
  <c r="C33" i="6" s="1"/>
  <c r="D32" i="6"/>
  <c r="C32" i="6" s="1"/>
  <c r="D29" i="6"/>
  <c r="C29" i="6" s="1"/>
  <c r="D27" i="6"/>
  <c r="C27" i="6" s="1"/>
  <c r="D24" i="6"/>
  <c r="C24" i="6" s="1"/>
  <c r="D23" i="6"/>
  <c r="C23" i="6" s="1"/>
  <c r="D22" i="6"/>
  <c r="C22" i="6" s="1"/>
  <c r="F106" i="6"/>
  <c r="F31" i="6" s="1"/>
  <c r="E106" i="6"/>
  <c r="E31" i="6" s="1"/>
  <c r="E100" i="6"/>
  <c r="E25" i="6" s="1"/>
  <c r="F100" i="6"/>
  <c r="F25" i="6" s="1"/>
  <c r="F95" i="6"/>
  <c r="F20" i="6" s="1"/>
  <c r="E95" i="6"/>
  <c r="E20" i="6" s="1"/>
  <c r="D95" i="6"/>
  <c r="C95" i="6" s="1"/>
  <c r="D100" i="6"/>
  <c r="C100" i="6" s="1"/>
  <c r="F94" i="6"/>
  <c r="F19" i="6" s="1"/>
  <c r="E94" i="6"/>
  <c r="E19" i="6" s="1"/>
  <c r="D94" i="6"/>
  <c r="C94" i="6" s="1"/>
  <c r="F108" i="6"/>
  <c r="F33" i="6" s="1"/>
  <c r="E108" i="6"/>
  <c r="E33" i="6" s="1"/>
  <c r="D108" i="6"/>
  <c r="C108" i="6" s="1"/>
  <c r="E124" i="6"/>
  <c r="E49" i="6" s="1"/>
  <c r="F124" i="6"/>
  <c r="F49" i="6" s="1"/>
  <c r="D124" i="6"/>
  <c r="C124" i="6" s="1"/>
  <c r="D106" i="6"/>
  <c r="C106" i="6" s="1"/>
  <c r="B93" i="6"/>
  <c r="F93" i="6"/>
  <c r="D20" i="6" l="1"/>
  <c r="C20" i="6" s="1"/>
  <c r="F103" i="6"/>
  <c r="D19" i="6"/>
  <c r="C19" i="6" s="1"/>
  <c r="D31" i="6"/>
  <c r="C31" i="6" s="1"/>
  <c r="G108" i="6"/>
  <c r="D25" i="6"/>
  <c r="C25" i="6" s="1"/>
  <c r="E93" i="6"/>
  <c r="D93" i="6"/>
  <c r="C93" i="6" s="1"/>
  <c r="C13" i="5" l="1"/>
  <c r="C14" i="5"/>
  <c r="C12" i="5"/>
  <c r="C137" i="6" l="1"/>
  <c r="D137" i="6"/>
  <c r="E137" i="6"/>
  <c r="F137" i="6"/>
  <c r="B137" i="6"/>
  <c r="D62" i="6"/>
  <c r="E62" i="6"/>
  <c r="F62" i="6"/>
  <c r="B62" i="6"/>
  <c r="B8" i="10"/>
  <c r="C6" i="23"/>
  <c r="C7" i="23" s="1"/>
  <c r="B9" i="1"/>
  <c r="H25" i="23"/>
  <c r="G25" i="23"/>
  <c r="F25" i="23"/>
  <c r="E25" i="23"/>
  <c r="D25" i="23"/>
  <c r="G30" i="9"/>
  <c r="G31" i="9"/>
  <c r="U23" i="27" s="1"/>
  <c r="G29" i="9"/>
  <c r="G26" i="9"/>
  <c r="G27" i="9"/>
  <c r="G25" i="9"/>
  <c r="G23" i="9"/>
  <c r="G22" i="9"/>
  <c r="G19" i="9"/>
  <c r="U12" i="27" s="1"/>
  <c r="G18" i="9"/>
  <c r="G17" i="9"/>
  <c r="G14" i="9"/>
  <c r="G15" i="9"/>
  <c r="G13" i="9"/>
  <c r="G11" i="9"/>
  <c r="G73" i="8"/>
  <c r="U65" i="26" s="1"/>
  <c r="G74" i="8"/>
  <c r="G71" i="8" s="1"/>
  <c r="U63" i="26" s="1"/>
  <c r="G75" i="8"/>
  <c r="G72" i="8"/>
  <c r="G63" i="8"/>
  <c r="G64" i="8"/>
  <c r="G65" i="8"/>
  <c r="G66" i="8"/>
  <c r="G67" i="8"/>
  <c r="G68" i="8"/>
  <c r="G69" i="8"/>
  <c r="G70" i="8"/>
  <c r="U62" i="26" s="1"/>
  <c r="G62" i="8"/>
  <c r="G55" i="8"/>
  <c r="G56" i="8"/>
  <c r="G57" i="8"/>
  <c r="G58" i="8"/>
  <c r="G59" i="8"/>
  <c r="G54" i="8"/>
  <c r="G46" i="8"/>
  <c r="G47" i="8"/>
  <c r="G48" i="8"/>
  <c r="G49" i="8"/>
  <c r="G50" i="8"/>
  <c r="U42" i="26" s="1"/>
  <c r="G51" i="8"/>
  <c r="G52" i="8"/>
  <c r="G45" i="8"/>
  <c r="G39" i="8"/>
  <c r="G40" i="8"/>
  <c r="G41" i="8"/>
  <c r="G38" i="8"/>
  <c r="G11" i="8"/>
  <c r="U4" i="26" s="1"/>
  <c r="G12" i="8"/>
  <c r="G10" i="8" s="1"/>
  <c r="G13" i="8"/>
  <c r="G14" i="8"/>
  <c r="G15" i="8"/>
  <c r="G16" i="8"/>
  <c r="G17" i="8"/>
  <c r="G18" i="8"/>
  <c r="G20" i="8"/>
  <c r="G21" i="8"/>
  <c r="G22" i="8"/>
  <c r="G23" i="8"/>
  <c r="G24" i="8"/>
  <c r="G25" i="8"/>
  <c r="G28" i="8"/>
  <c r="G29" i="8"/>
  <c r="G30" i="8"/>
  <c r="G31" i="8"/>
  <c r="G32" i="8"/>
  <c r="G33" i="8"/>
  <c r="G34" i="8"/>
  <c r="G35" i="8"/>
  <c r="G36" i="8"/>
  <c r="G21" i="7"/>
  <c r="G22" i="7"/>
  <c r="G23" i="7"/>
  <c r="G24" i="7"/>
  <c r="G25" i="7"/>
  <c r="G26" i="7"/>
  <c r="G27" i="7"/>
  <c r="G11" i="7"/>
  <c r="G12" i="7"/>
  <c r="G13" i="7"/>
  <c r="G14" i="7"/>
  <c r="G15" i="7"/>
  <c r="G16" i="7"/>
  <c r="G17" i="7"/>
  <c r="B10" i="6"/>
  <c r="P3" i="24" s="1"/>
  <c r="B18" i="6"/>
  <c r="B28" i="6"/>
  <c r="B38" i="6"/>
  <c r="B48" i="6"/>
  <c r="B58" i="6"/>
  <c r="B71" i="6"/>
  <c r="B75" i="6"/>
  <c r="P68" i="24" s="1"/>
  <c r="G152" i="6"/>
  <c r="G153" i="6"/>
  <c r="G154" i="6"/>
  <c r="G155" i="6"/>
  <c r="G156" i="6"/>
  <c r="G157" i="6"/>
  <c r="G151" i="6"/>
  <c r="U143" i="24" s="1"/>
  <c r="G148" i="6"/>
  <c r="G149" i="6"/>
  <c r="G147" i="6"/>
  <c r="G139" i="6"/>
  <c r="U131" i="24" s="1"/>
  <c r="G140" i="6"/>
  <c r="G141" i="6"/>
  <c r="G142" i="6"/>
  <c r="G143" i="6"/>
  <c r="U135" i="24" s="1"/>
  <c r="G144" i="6"/>
  <c r="G145" i="6"/>
  <c r="G138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U97" i="24" s="1"/>
  <c r="G106" i="6"/>
  <c r="U98" i="24" s="1"/>
  <c r="G107" i="6"/>
  <c r="G109" i="6"/>
  <c r="U101" i="24" s="1"/>
  <c r="G110" i="6"/>
  <c r="G111" i="6"/>
  <c r="G112" i="6"/>
  <c r="G104" i="6"/>
  <c r="U96" i="24" s="1"/>
  <c r="G95" i="6"/>
  <c r="U87" i="24" s="1"/>
  <c r="G96" i="6"/>
  <c r="G97" i="6"/>
  <c r="G98" i="6"/>
  <c r="U90" i="24" s="1"/>
  <c r="G99" i="6"/>
  <c r="G100" i="6"/>
  <c r="G101" i="6"/>
  <c r="G102" i="6"/>
  <c r="U94" i="24" s="1"/>
  <c r="G94" i="6"/>
  <c r="U86" i="24" s="1"/>
  <c r="G88" i="6"/>
  <c r="U80" i="24" s="1"/>
  <c r="G89" i="6"/>
  <c r="G90" i="6"/>
  <c r="U82" i="24" s="1"/>
  <c r="G91" i="6"/>
  <c r="G92" i="6"/>
  <c r="G77" i="6"/>
  <c r="G78" i="6"/>
  <c r="G79" i="6"/>
  <c r="G80" i="6"/>
  <c r="G81" i="6"/>
  <c r="G82" i="6"/>
  <c r="G76" i="6"/>
  <c r="G73" i="6"/>
  <c r="G74" i="6"/>
  <c r="G72" i="6"/>
  <c r="U65" i="24" s="1"/>
  <c r="G64" i="6"/>
  <c r="G65" i="6"/>
  <c r="G66" i="6"/>
  <c r="G67" i="6"/>
  <c r="G68" i="6"/>
  <c r="G69" i="6"/>
  <c r="G70" i="6"/>
  <c r="G63" i="6"/>
  <c r="G60" i="6"/>
  <c r="G61" i="6"/>
  <c r="G59" i="6"/>
  <c r="U52" i="24" s="1"/>
  <c r="G50" i="6"/>
  <c r="U43" i="24" s="1"/>
  <c r="G51" i="6"/>
  <c r="G52" i="6"/>
  <c r="G53" i="6"/>
  <c r="G54" i="6"/>
  <c r="G55" i="6"/>
  <c r="G56" i="6"/>
  <c r="G57" i="6"/>
  <c r="G49" i="6"/>
  <c r="U42" i="24" s="1"/>
  <c r="G40" i="6"/>
  <c r="G41" i="6"/>
  <c r="G42" i="6"/>
  <c r="G43" i="6"/>
  <c r="U36" i="24" s="1"/>
  <c r="G44" i="6"/>
  <c r="G45" i="6"/>
  <c r="G46" i="6"/>
  <c r="G47" i="6"/>
  <c r="U40" i="24" s="1"/>
  <c r="G39" i="6"/>
  <c r="G30" i="6"/>
  <c r="G31" i="6"/>
  <c r="G32" i="6"/>
  <c r="G33" i="6"/>
  <c r="G34" i="6"/>
  <c r="G35" i="6"/>
  <c r="G36" i="6"/>
  <c r="G37" i="6"/>
  <c r="G29" i="6"/>
  <c r="U22" i="24" s="1"/>
  <c r="G20" i="6"/>
  <c r="U13" i="24" s="1"/>
  <c r="G21" i="6"/>
  <c r="G22" i="6"/>
  <c r="U15" i="24" s="1"/>
  <c r="G23" i="6"/>
  <c r="U16" i="24" s="1"/>
  <c r="G24" i="6"/>
  <c r="G25" i="6"/>
  <c r="U18" i="24" s="1"/>
  <c r="G26" i="6"/>
  <c r="G27" i="6"/>
  <c r="U20" i="24" s="1"/>
  <c r="G19" i="6"/>
  <c r="B7" i="13"/>
  <c r="G10" i="6"/>
  <c r="G9" i="5"/>
  <c r="G10" i="5"/>
  <c r="U4" i="20" s="1"/>
  <c r="G11" i="5"/>
  <c r="U5" i="20" s="1"/>
  <c r="G12" i="5"/>
  <c r="G13" i="5"/>
  <c r="U7" i="20" s="1"/>
  <c r="G14" i="5"/>
  <c r="U8" i="20" s="1"/>
  <c r="G15" i="5"/>
  <c r="G18" i="5"/>
  <c r="G19" i="5"/>
  <c r="G20" i="5"/>
  <c r="G21" i="5"/>
  <c r="G22" i="5"/>
  <c r="G23" i="5"/>
  <c r="G24" i="5"/>
  <c r="G25" i="5"/>
  <c r="G26" i="5"/>
  <c r="G27" i="5"/>
  <c r="G29" i="5"/>
  <c r="G30" i="5"/>
  <c r="U24" i="20" s="1"/>
  <c r="G31" i="5"/>
  <c r="G32" i="5"/>
  <c r="G33" i="5"/>
  <c r="G34" i="5"/>
  <c r="U28" i="20" s="1"/>
  <c r="G36" i="5"/>
  <c r="G35" i="5" s="1"/>
  <c r="U29" i="20" s="1"/>
  <c r="G38" i="5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D29" i="13"/>
  <c r="R22" i="31" s="1"/>
  <c r="E7" i="13"/>
  <c r="S2" i="31" s="1"/>
  <c r="F7" i="13"/>
  <c r="G7" i="13"/>
  <c r="U2" i="31" s="1"/>
  <c r="Q2" i="31"/>
  <c r="R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/>
  <c r="F36" i="12"/>
  <c r="T27" i="30" s="1"/>
  <c r="G36" i="12"/>
  <c r="U27" i="30" s="1"/>
  <c r="S2" i="30"/>
  <c r="T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D8" i="11"/>
  <c r="D30" i="11"/>
  <c r="R22" i="29" s="1"/>
  <c r="E8" i="11"/>
  <c r="F8" i="11"/>
  <c r="G8" i="11"/>
  <c r="R2" i="29"/>
  <c r="S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 s="1"/>
  <c r="F29" i="10"/>
  <c r="T21" i="28" s="1"/>
  <c r="G29" i="10"/>
  <c r="U21" i="28" s="1"/>
  <c r="Q22" i="28"/>
  <c r="R22" i="28"/>
  <c r="S22" i="28"/>
  <c r="T22" i="28"/>
  <c r="U22" i="28"/>
  <c r="C32" i="10"/>
  <c r="Q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D12" i="9"/>
  <c r="R5" i="27" s="1"/>
  <c r="D16" i="9"/>
  <c r="E12" i="9"/>
  <c r="E16" i="9"/>
  <c r="E9" i="9" s="1"/>
  <c r="F12" i="9"/>
  <c r="F16" i="9"/>
  <c r="T9" i="27" s="1"/>
  <c r="G16" i="9"/>
  <c r="Q3" i="27"/>
  <c r="R3" i="27"/>
  <c r="S3" i="27"/>
  <c r="T3" i="27"/>
  <c r="U3" i="27"/>
  <c r="Q4" i="27"/>
  <c r="R4" i="27"/>
  <c r="S4" i="27"/>
  <c r="T4" i="27"/>
  <c r="U4" i="27"/>
  <c r="Q5" i="27"/>
  <c r="S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C24" i="9"/>
  <c r="C21" i="9" s="1"/>
  <c r="Q13" i="27" s="1"/>
  <c r="C28" i="9"/>
  <c r="Q20" i="27" s="1"/>
  <c r="D24" i="9"/>
  <c r="D28" i="9"/>
  <c r="E24" i="9"/>
  <c r="S16" i="27" s="1"/>
  <c r="E28" i="9"/>
  <c r="F24" i="9"/>
  <c r="T16" i="27" s="1"/>
  <c r="F28" i="9"/>
  <c r="F21" i="9" s="1"/>
  <c r="T13" i="27" s="1"/>
  <c r="G24" i="9"/>
  <c r="U16" i="27" s="1"/>
  <c r="G28" i="9"/>
  <c r="Q14" i="27"/>
  <c r="R14" i="27"/>
  <c r="S14" i="27"/>
  <c r="T14" i="27"/>
  <c r="Q15" i="27"/>
  <c r="R15" i="27"/>
  <c r="S15" i="27"/>
  <c r="T15" i="27"/>
  <c r="U15" i="27"/>
  <c r="Q16" i="27"/>
  <c r="R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B21" i="9" s="1"/>
  <c r="P13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C37" i="8"/>
  <c r="Q30" i="26" s="1"/>
  <c r="D10" i="8"/>
  <c r="R3" i="26" s="1"/>
  <c r="D19" i="8"/>
  <c r="D27" i="8"/>
  <c r="R20" i="26" s="1"/>
  <c r="D37" i="8"/>
  <c r="R30" i="26" s="1"/>
  <c r="E10" i="8"/>
  <c r="E19" i="8"/>
  <c r="E27" i="8"/>
  <c r="S20" i="26" s="1"/>
  <c r="E37" i="8"/>
  <c r="S30" i="26" s="1"/>
  <c r="F10" i="8"/>
  <c r="F19" i="8"/>
  <c r="F27" i="8"/>
  <c r="T20" i="26" s="1"/>
  <c r="F37" i="8"/>
  <c r="T30" i="26" s="1"/>
  <c r="Q3" i="26"/>
  <c r="S3" i="26"/>
  <c r="T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C71" i="8"/>
  <c r="Q63" i="26" s="1"/>
  <c r="D44" i="8"/>
  <c r="R36" i="26" s="1"/>
  <c r="D53" i="8"/>
  <c r="R45" i="26" s="1"/>
  <c r="D61" i="8"/>
  <c r="D71" i="8"/>
  <c r="E44" i="8"/>
  <c r="E53" i="8"/>
  <c r="S45" i="26" s="1"/>
  <c r="E61" i="8"/>
  <c r="S53" i="26" s="1"/>
  <c r="E71" i="8"/>
  <c r="S63" i="26" s="1"/>
  <c r="F44" i="8"/>
  <c r="F53" i="8"/>
  <c r="F61" i="8"/>
  <c r="T53" i="26" s="1"/>
  <c r="F71" i="8"/>
  <c r="G53" i="8"/>
  <c r="U45" i="26" s="1"/>
  <c r="S36" i="26"/>
  <c r="T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R63" i="26"/>
  <c r="T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P63" i="26" s="1"/>
  <c r="B10" i="8"/>
  <c r="P3" i="26" s="1"/>
  <c r="B19" i="8"/>
  <c r="B27" i="8"/>
  <c r="P20" i="26" s="1"/>
  <c r="B37" i="8"/>
  <c r="P30" i="26" s="1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E9" i="7"/>
  <c r="S2" i="25" s="1"/>
  <c r="D9" i="7"/>
  <c r="R2" i="25" s="1"/>
  <c r="C9" i="7"/>
  <c r="Q2" i="25" s="1"/>
  <c r="B9" i="7"/>
  <c r="P2" i="25" s="1"/>
  <c r="A3" i="25"/>
  <c r="A4" i="25"/>
  <c r="A2" i="25"/>
  <c r="A87" i="24"/>
  <c r="C133" i="6"/>
  <c r="C146" i="6"/>
  <c r="Q138" i="24" s="1"/>
  <c r="C150" i="6"/>
  <c r="R77" i="24"/>
  <c r="D103" i="6"/>
  <c r="D113" i="6"/>
  <c r="D123" i="6"/>
  <c r="D133" i="6"/>
  <c r="D146" i="6"/>
  <c r="D150" i="6"/>
  <c r="E103" i="6"/>
  <c r="S95" i="24" s="1"/>
  <c r="E113" i="6"/>
  <c r="S105" i="24" s="1"/>
  <c r="E123" i="6"/>
  <c r="E133" i="6"/>
  <c r="E146" i="6"/>
  <c r="S138" i="24" s="1"/>
  <c r="E150" i="6"/>
  <c r="F85" i="6"/>
  <c r="T77" i="24" s="1"/>
  <c r="T95" i="24"/>
  <c r="F113" i="6"/>
  <c r="T105" i="24" s="1"/>
  <c r="F123" i="6"/>
  <c r="T115" i="24" s="1"/>
  <c r="F133" i="6"/>
  <c r="F146" i="6"/>
  <c r="F150" i="6"/>
  <c r="G146" i="6"/>
  <c r="U138" i="24" s="1"/>
  <c r="G150" i="6"/>
  <c r="Q78" i="24"/>
  <c r="R78" i="24"/>
  <c r="T78" i="24"/>
  <c r="Q79" i="24"/>
  <c r="S79" i="24"/>
  <c r="T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S115" i="24"/>
  <c r="Q116" i="24"/>
  <c r="R116" i="24"/>
  <c r="S116" i="24"/>
  <c r="T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T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R138" i="24"/>
  <c r="T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S142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Q11" i="24" s="1"/>
  <c r="C28" i="6"/>
  <c r="C38" i="6"/>
  <c r="Q31" i="24" s="1"/>
  <c r="C48" i="6"/>
  <c r="D10" i="6"/>
  <c r="R3" i="24" s="1"/>
  <c r="D18" i="6"/>
  <c r="D28" i="6"/>
  <c r="R21" i="24" s="1"/>
  <c r="D38" i="6"/>
  <c r="D48" i="6"/>
  <c r="R41" i="24" s="1"/>
  <c r="D58" i="6"/>
  <c r="C58" i="6" s="1"/>
  <c r="Q51" i="24" s="1"/>
  <c r="D71" i="6"/>
  <c r="C71" i="6" s="1"/>
  <c r="Q64" i="24" s="1"/>
  <c r="D75" i="6"/>
  <c r="R68" i="24" s="1"/>
  <c r="E10" i="6"/>
  <c r="S3" i="24" s="1"/>
  <c r="E18" i="6"/>
  <c r="S11" i="24" s="1"/>
  <c r="E28" i="6"/>
  <c r="E38" i="6"/>
  <c r="S31" i="24" s="1"/>
  <c r="E48" i="6"/>
  <c r="E58" i="6"/>
  <c r="S51" i="24" s="1"/>
  <c r="E71" i="6"/>
  <c r="S64" i="24" s="1"/>
  <c r="E75" i="6"/>
  <c r="F10" i="6"/>
  <c r="T3" i="24" s="1"/>
  <c r="F18" i="6"/>
  <c r="T11" i="24" s="1"/>
  <c r="F28" i="6"/>
  <c r="T21" i="24" s="1"/>
  <c r="F38" i="6"/>
  <c r="T31" i="24" s="1"/>
  <c r="F48" i="6"/>
  <c r="T41" i="24" s="1"/>
  <c r="F58" i="6"/>
  <c r="F71" i="6"/>
  <c r="F75" i="6"/>
  <c r="G58" i="6"/>
  <c r="U51" i="24" s="1"/>
  <c r="G71" i="6"/>
  <c r="B85" i="6"/>
  <c r="B103" i="6"/>
  <c r="P95" i="24" s="1"/>
  <c r="B113" i="6"/>
  <c r="P105" i="24" s="1"/>
  <c r="B123" i="6"/>
  <c r="B133" i="6"/>
  <c r="P125" i="24" s="1"/>
  <c r="B146" i="6"/>
  <c r="P138" i="24" s="1"/>
  <c r="B150" i="6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Q21" i="24"/>
  <c r="S21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R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Q41" i="24"/>
  <c r="S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T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T64" i="24"/>
  <c r="U64" i="24"/>
  <c r="Q65" i="24"/>
  <c r="R65" i="24"/>
  <c r="S65" i="24"/>
  <c r="T65" i="24"/>
  <c r="Q66" i="24"/>
  <c r="R66" i="24"/>
  <c r="S66" i="24"/>
  <c r="T66" i="24"/>
  <c r="U66" i="24"/>
  <c r="Q67" i="24"/>
  <c r="R67" i="24"/>
  <c r="S67" i="24"/>
  <c r="T67" i="24"/>
  <c r="U67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6" i="20"/>
  <c r="U9" i="20"/>
  <c r="U12" i="20"/>
  <c r="U13" i="20"/>
  <c r="U14" i="20"/>
  <c r="U15" i="20"/>
  <c r="U16" i="20"/>
  <c r="U17" i="20"/>
  <c r="U18" i="20"/>
  <c r="U19" i="20"/>
  <c r="U20" i="20"/>
  <c r="U21" i="20"/>
  <c r="U25" i="20"/>
  <c r="U26" i="20"/>
  <c r="U27" i="20"/>
  <c r="U32" i="20"/>
  <c r="G46" i="5"/>
  <c r="G47" i="5"/>
  <c r="G48" i="5"/>
  <c r="U40" i="20" s="1"/>
  <c r="G49" i="5"/>
  <c r="U41" i="20" s="1"/>
  <c r="G50" i="5"/>
  <c r="U42" i="20" s="1"/>
  <c r="G51" i="5"/>
  <c r="U43" i="20" s="1"/>
  <c r="G52" i="5"/>
  <c r="G53" i="5"/>
  <c r="U45" i="20" s="1"/>
  <c r="U38" i="20"/>
  <c r="U44" i="20"/>
  <c r="G55" i="5"/>
  <c r="G56" i="5"/>
  <c r="G57" i="5"/>
  <c r="G58" i="5"/>
  <c r="U50" i="20" s="1"/>
  <c r="U47" i="20"/>
  <c r="U49" i="20"/>
  <c r="G60" i="5"/>
  <c r="G61" i="5"/>
  <c r="G59" i="5" s="1"/>
  <c r="U51" i="20" s="1"/>
  <c r="U52" i="20"/>
  <c r="U53" i="20"/>
  <c r="G62" i="5"/>
  <c r="U54" i="20" s="1"/>
  <c r="G63" i="5"/>
  <c r="U55" i="20" s="1"/>
  <c r="G67" i="5"/>
  <c r="U57" i="20" s="1"/>
  <c r="U58" i="20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1" i="20"/>
  <c r="R61" i="20"/>
  <c r="S61" i="20"/>
  <c r="T61" i="20"/>
  <c r="P61" i="20"/>
  <c r="P58" i="20"/>
  <c r="B67" i="5"/>
  <c r="P57" i="20"/>
  <c r="B45" i="5"/>
  <c r="P37" i="20" s="1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B35" i="5"/>
  <c r="P29" i="20" s="1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0" s="1"/>
  <c r="H23" i="23"/>
  <c r="F6" i="11" s="1"/>
  <c r="G23" i="23"/>
  <c r="E6" i="11" s="1"/>
  <c r="F23" i="23"/>
  <c r="D6" i="11"/>
  <c r="E23" i="23"/>
  <c r="C6" i="10" s="1"/>
  <c r="D6" i="10"/>
  <c r="B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 s="1"/>
  <c r="Y4" i="17" s="1"/>
  <c r="J14" i="3"/>
  <c r="X4" i="17" s="1"/>
  <c r="I14" i="3"/>
  <c r="I8" i="3"/>
  <c r="W3" i="17" s="1"/>
  <c r="H14" i="3"/>
  <c r="V4" i="17" s="1"/>
  <c r="G14" i="3"/>
  <c r="U4" i="17" s="1"/>
  <c r="E14" i="3"/>
  <c r="K9" i="3"/>
  <c r="K10" i="3"/>
  <c r="K11" i="3"/>
  <c r="K12" i="3"/>
  <c r="J8" i="3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P32" i="18" s="1"/>
  <c r="B55" i="4"/>
  <c r="B53" i="4"/>
  <c r="B49" i="4"/>
  <c r="P27" i="18" s="1"/>
  <c r="B48" i="4"/>
  <c r="P26" i="18" s="1"/>
  <c r="B37" i="4"/>
  <c r="P19" i="18" s="1"/>
  <c r="B8" i="4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8" i="18"/>
  <c r="P29" i="18"/>
  <c r="P20" i="18"/>
  <c r="P21" i="18"/>
  <c r="P23" i="18"/>
  <c r="P24" i="18"/>
  <c r="P16" i="18"/>
  <c r="P17" i="18"/>
  <c r="P7" i="18"/>
  <c r="P8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Q76" i="15" s="1"/>
  <c r="F31" i="1"/>
  <c r="Q80" i="15" s="1"/>
  <c r="F38" i="1"/>
  <c r="Q87" i="15" s="1"/>
  <c r="F42" i="1"/>
  <c r="Q91" i="15" s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C64" i="4"/>
  <c r="Q33" i="18" s="1"/>
  <c r="D64" i="4"/>
  <c r="R33" i="18" s="1"/>
  <c r="C63" i="4"/>
  <c r="Q32" i="18" s="1"/>
  <c r="D63" i="4"/>
  <c r="R32" i="18" s="1"/>
  <c r="C48" i="4"/>
  <c r="Q26" i="18" s="1"/>
  <c r="C55" i="4"/>
  <c r="Q31" i="18" s="1"/>
  <c r="D55" i="4"/>
  <c r="R31" i="18" s="1"/>
  <c r="C53" i="4"/>
  <c r="D53" i="4"/>
  <c r="R30" i="18" s="1"/>
  <c r="D48" i="4"/>
  <c r="R26" i="18" s="1"/>
  <c r="C49" i="4"/>
  <c r="Q27" i="18" s="1"/>
  <c r="D49" i="4"/>
  <c r="R27" i="18" s="1"/>
  <c r="C29" i="4"/>
  <c r="D29" i="4"/>
  <c r="R15" i="18" s="1"/>
  <c r="C40" i="4"/>
  <c r="D40" i="4"/>
  <c r="R22" i="18" s="1"/>
  <c r="C37" i="4"/>
  <c r="C44" i="4" s="1"/>
  <c r="Q25" i="18" s="1"/>
  <c r="D37" i="4"/>
  <c r="R19" i="18" s="1"/>
  <c r="C17" i="4"/>
  <c r="Q9" i="18" s="1"/>
  <c r="C13" i="4"/>
  <c r="Q6" i="18" s="1"/>
  <c r="D13" i="4"/>
  <c r="R6" i="18" s="1"/>
  <c r="W4" i="17"/>
  <c r="S4" i="17"/>
  <c r="Q17" i="16"/>
  <c r="P15" i="16"/>
  <c r="P14" i="16"/>
  <c r="C13" i="2"/>
  <c r="Q8" i="16"/>
  <c r="D13" i="2"/>
  <c r="R8" i="16" s="1"/>
  <c r="E13" i="2"/>
  <c r="S8" i="16" s="1"/>
  <c r="F13" i="2"/>
  <c r="T8" i="16"/>
  <c r="G13" i="2"/>
  <c r="U8" i="16" s="1"/>
  <c r="H13" i="2"/>
  <c r="V8" i="16"/>
  <c r="B13" i="2"/>
  <c r="P8" i="16" s="1"/>
  <c r="C9" i="2"/>
  <c r="Q4" i="16" s="1"/>
  <c r="D9" i="2"/>
  <c r="R4" i="16" s="1"/>
  <c r="E9" i="2"/>
  <c r="S4" i="16" s="1"/>
  <c r="F9" i="2"/>
  <c r="T4" i="16" s="1"/>
  <c r="G9" i="2"/>
  <c r="H9" i="2"/>
  <c r="V4" i="16" s="1"/>
  <c r="B9" i="2"/>
  <c r="P4" i="16" s="1"/>
  <c r="P4" i="15"/>
  <c r="Q30" i="18"/>
  <c r="R36" i="18"/>
  <c r="Q22" i="18"/>
  <c r="Q15" i="18"/>
  <c r="C8" i="4"/>
  <c r="Q2" i="18" s="1"/>
  <c r="Q5" i="18"/>
  <c r="D8" i="4"/>
  <c r="R2" i="18" s="1"/>
  <c r="R5" i="18"/>
  <c r="Q67" i="15"/>
  <c r="J20" i="3" l="1"/>
  <c r="X5" i="17" s="1"/>
  <c r="G8" i="2"/>
  <c r="F31" i="12"/>
  <c r="T23" i="30" s="1"/>
  <c r="B31" i="12"/>
  <c r="P23" i="30" s="1"/>
  <c r="Q19" i="18"/>
  <c r="C8" i="2"/>
  <c r="F6" i="10"/>
  <c r="G45" i="5"/>
  <c r="G32" i="10"/>
  <c r="U23" i="28" s="1"/>
  <c r="D32" i="10"/>
  <c r="R23" i="28" s="1"/>
  <c r="F30" i="11"/>
  <c r="T22" i="29" s="1"/>
  <c r="C62" i="6"/>
  <c r="Q55" i="24" s="1"/>
  <c r="B21" i="4"/>
  <c r="K8" i="3"/>
  <c r="K20" i="3" s="1"/>
  <c r="Y5" i="17" s="1"/>
  <c r="E6" i="1"/>
  <c r="D41" i="5"/>
  <c r="R34" i="20" s="1"/>
  <c r="E29" i="13"/>
  <c r="S22" i="31" s="1"/>
  <c r="G62" i="6"/>
  <c r="U55" i="24" s="1"/>
  <c r="G19" i="8"/>
  <c r="U12" i="26" s="1"/>
  <c r="G37" i="8"/>
  <c r="U30" i="26" s="1"/>
  <c r="G29" i="13"/>
  <c r="U22" i="31" s="1"/>
  <c r="D31" i="12"/>
  <c r="R23" i="30" s="1"/>
  <c r="B30" i="11"/>
  <c r="P22" i="29" s="1"/>
  <c r="B32" i="10"/>
  <c r="P23" i="28" s="1"/>
  <c r="E32" i="10"/>
  <c r="S23" i="28" s="1"/>
  <c r="F32" i="10"/>
  <c r="T23" i="28" s="1"/>
  <c r="U3" i="16"/>
  <c r="G20" i="2"/>
  <c r="U13" i="16" s="1"/>
  <c r="U4" i="16"/>
  <c r="E8" i="2"/>
  <c r="C20" i="2"/>
  <c r="Q13" i="16" s="1"/>
  <c r="Q3" i="16"/>
  <c r="B8" i="2"/>
  <c r="P3" i="16" s="1"/>
  <c r="E79" i="1"/>
  <c r="P119" i="15" s="1"/>
  <c r="F47" i="1"/>
  <c r="Q95" i="15" s="1"/>
  <c r="Q71" i="15"/>
  <c r="C47" i="1"/>
  <c r="Q42" i="15" s="1"/>
  <c r="S3" i="16"/>
  <c r="E20" i="2"/>
  <c r="S13" i="16" s="1"/>
  <c r="B47" i="1"/>
  <c r="F79" i="1"/>
  <c r="Q119" i="15" s="1"/>
  <c r="F9" i="9"/>
  <c r="T2" i="27" s="1"/>
  <c r="T5" i="27"/>
  <c r="G27" i="8"/>
  <c r="U20" i="26" s="1"/>
  <c r="E47" i="1"/>
  <c r="G9" i="9"/>
  <c r="U2" i="27" s="1"/>
  <c r="H8" i="2"/>
  <c r="D8" i="2"/>
  <c r="X3" i="17"/>
  <c r="P106" i="15"/>
  <c r="F8" i="2"/>
  <c r="E6" i="10"/>
  <c r="C30" i="11"/>
  <c r="Q22" i="29" s="1"/>
  <c r="Q2" i="29"/>
  <c r="C31" i="12"/>
  <c r="Q23" i="30" s="1"/>
  <c r="Q2" i="30"/>
  <c r="E21" i="9"/>
  <c r="S13" i="27" s="1"/>
  <c r="S20" i="27"/>
  <c r="P6" i="18"/>
  <c r="C6" i="11"/>
  <c r="G6" i="11"/>
  <c r="C123" i="6"/>
  <c r="Q115" i="24" s="1"/>
  <c r="R115" i="24"/>
  <c r="G30" i="11"/>
  <c r="U22" i="29" s="1"/>
  <c r="U2" i="29"/>
  <c r="G31" i="12"/>
  <c r="U23" i="30" s="1"/>
  <c r="U2" i="30"/>
  <c r="F29" i="13"/>
  <c r="T22" i="31" s="1"/>
  <c r="T2" i="31"/>
  <c r="B29" i="13"/>
  <c r="P22" i="31" s="1"/>
  <c r="P2" i="31"/>
  <c r="G75" i="6"/>
  <c r="U68" i="24" s="1"/>
  <c r="G113" i="6"/>
  <c r="U105" i="24" s="1"/>
  <c r="U106" i="24"/>
  <c r="G133" i="6"/>
  <c r="U125" i="24" s="1"/>
  <c r="U127" i="24"/>
  <c r="B9" i="6"/>
  <c r="G44" i="8"/>
  <c r="U36" i="26" s="1"/>
  <c r="U38" i="26"/>
  <c r="G61" i="8"/>
  <c r="U58" i="26"/>
  <c r="U7" i="27"/>
  <c r="G12" i="9"/>
  <c r="U5" i="27" s="1"/>
  <c r="C113" i="6"/>
  <c r="Q105" i="24" s="1"/>
  <c r="E30" i="11"/>
  <c r="S22" i="29" s="1"/>
  <c r="E31" i="12"/>
  <c r="S23" i="30" s="1"/>
  <c r="G123" i="6"/>
  <c r="U115" i="24" s="1"/>
  <c r="G9" i="7"/>
  <c r="P77" i="24"/>
  <c r="C85" i="6"/>
  <c r="Q77" i="24" s="1"/>
  <c r="C75" i="6"/>
  <c r="Q68" i="24" s="1"/>
  <c r="R105" i="24"/>
  <c r="F43" i="8"/>
  <c r="T35" i="26" s="1"/>
  <c r="P20" i="27"/>
  <c r="D21" i="9"/>
  <c r="R13" i="27" s="1"/>
  <c r="T2" i="29"/>
  <c r="P2" i="30"/>
  <c r="G38" i="6"/>
  <c r="U31" i="24" s="1"/>
  <c r="D9" i="9"/>
  <c r="G16" i="5"/>
  <c r="U10" i="20" s="1"/>
  <c r="S14" i="16"/>
  <c r="S10" i="20"/>
  <c r="E41" i="5"/>
  <c r="S34" i="20" s="1"/>
  <c r="G20" i="3"/>
  <c r="U5" i="17" s="1"/>
  <c r="E20" i="3"/>
  <c r="S5" i="17" s="1"/>
  <c r="H20" i="3"/>
  <c r="V5" i="17" s="1"/>
  <c r="I20" i="3"/>
  <c r="W5" i="17" s="1"/>
  <c r="T20" i="27"/>
  <c r="R20" i="27"/>
  <c r="G21" i="9"/>
  <c r="U13" i="27" s="1"/>
  <c r="U14" i="27"/>
  <c r="Q2" i="27"/>
  <c r="C33" i="9"/>
  <c r="Q24" i="27" s="1"/>
  <c r="Q9" i="27"/>
  <c r="S2" i="27"/>
  <c r="E33" i="9"/>
  <c r="S24" i="27" s="1"/>
  <c r="U9" i="27"/>
  <c r="S9" i="27"/>
  <c r="R2" i="27"/>
  <c r="D33" i="9"/>
  <c r="R24" i="27" s="1"/>
  <c r="R9" i="27"/>
  <c r="B9" i="9"/>
  <c r="E43" i="8"/>
  <c r="S35" i="26" s="1"/>
  <c r="D43" i="8"/>
  <c r="R35" i="26" s="1"/>
  <c r="C43" i="8"/>
  <c r="Q35" i="26" s="1"/>
  <c r="B43" i="8"/>
  <c r="P35" i="26" s="1"/>
  <c r="Q45" i="26"/>
  <c r="P45" i="26"/>
  <c r="F9" i="8"/>
  <c r="T2" i="26" s="1"/>
  <c r="E9" i="8"/>
  <c r="E77" i="8" s="1"/>
  <c r="S68" i="26" s="1"/>
  <c r="D9" i="8"/>
  <c r="R2" i="26" s="1"/>
  <c r="C9" i="8"/>
  <c r="Q2" i="26" s="1"/>
  <c r="B9" i="8"/>
  <c r="P2" i="26" s="1"/>
  <c r="P12" i="26"/>
  <c r="R12" i="26"/>
  <c r="T12" i="26"/>
  <c r="S2" i="26"/>
  <c r="Q12" i="26"/>
  <c r="U3" i="26"/>
  <c r="G48" i="6"/>
  <c r="U41" i="24" s="1"/>
  <c r="U34" i="24"/>
  <c r="R95" i="24"/>
  <c r="C103" i="6"/>
  <c r="Q95" i="24" s="1"/>
  <c r="U44" i="24"/>
  <c r="G28" i="6"/>
  <c r="U21" i="24" s="1"/>
  <c r="U24" i="24"/>
  <c r="G18" i="6"/>
  <c r="U11" i="24" s="1"/>
  <c r="G93" i="6"/>
  <c r="U85" i="24" s="1"/>
  <c r="U116" i="24"/>
  <c r="D84" i="6"/>
  <c r="G103" i="6"/>
  <c r="U95" i="24" s="1"/>
  <c r="S125" i="24"/>
  <c r="G137" i="6"/>
  <c r="U129" i="24" s="1"/>
  <c r="B84" i="6"/>
  <c r="P76" i="24" s="1"/>
  <c r="F84" i="6"/>
  <c r="T76" i="24" s="1"/>
  <c r="T142" i="24"/>
  <c r="Q142" i="24"/>
  <c r="U142" i="24"/>
  <c r="R142" i="24"/>
  <c r="P142" i="24"/>
  <c r="E9" i="6"/>
  <c r="S2" i="24" s="1"/>
  <c r="F9" i="6"/>
  <c r="D9" i="6"/>
  <c r="R2" i="24" s="1"/>
  <c r="C9" i="6"/>
  <c r="Q2" i="24" s="1"/>
  <c r="P2" i="24"/>
  <c r="U14" i="24"/>
  <c r="R11" i="24"/>
  <c r="D65" i="5"/>
  <c r="R56" i="20" s="1"/>
  <c r="B65" i="5"/>
  <c r="P56" i="20" s="1"/>
  <c r="G54" i="5"/>
  <c r="U46" i="20" s="1"/>
  <c r="U48" i="20"/>
  <c r="U37" i="20"/>
  <c r="E65" i="5"/>
  <c r="S56" i="20" s="1"/>
  <c r="U39" i="20"/>
  <c r="F65" i="5"/>
  <c r="T56" i="20" s="1"/>
  <c r="U33" i="20"/>
  <c r="B41" i="5"/>
  <c r="P34" i="20" s="1"/>
  <c r="U30" i="20"/>
  <c r="P22" i="20"/>
  <c r="G28" i="5"/>
  <c r="U22" i="20" s="1"/>
  <c r="U23" i="20"/>
  <c r="F41" i="5"/>
  <c r="T34" i="20" s="1"/>
  <c r="U11" i="20"/>
  <c r="C70" i="5"/>
  <c r="C73" i="5" s="1"/>
  <c r="G41" i="5"/>
  <c r="G42" i="5" s="1"/>
  <c r="U35" i="20" s="1"/>
  <c r="B72" i="4"/>
  <c r="P38" i="18" s="1"/>
  <c r="D57" i="4"/>
  <c r="D59" i="4" s="1"/>
  <c r="C57" i="4"/>
  <c r="C59" i="4" s="1"/>
  <c r="B57" i="4"/>
  <c r="B59" i="4" s="1"/>
  <c r="B44" i="4"/>
  <c r="P25" i="18" s="1"/>
  <c r="D44" i="4"/>
  <c r="R25" i="18" s="1"/>
  <c r="C72" i="4"/>
  <c r="C74" i="4" s="1"/>
  <c r="Q39" i="18" s="1"/>
  <c r="C21" i="4"/>
  <c r="Q12" i="18" s="1"/>
  <c r="B74" i="4"/>
  <c r="P39" i="18" s="1"/>
  <c r="B23" i="4"/>
  <c r="B25" i="4" s="1"/>
  <c r="B33" i="4" s="1"/>
  <c r="P18" i="18" s="1"/>
  <c r="P12" i="18"/>
  <c r="D72" i="4"/>
  <c r="D21" i="4"/>
  <c r="A2" i="10"/>
  <c r="A2" i="12"/>
  <c r="A2" i="11"/>
  <c r="A2" i="6"/>
  <c r="A2" i="8"/>
  <c r="A2" i="5"/>
  <c r="A2" i="3"/>
  <c r="A2" i="1"/>
  <c r="A2" i="9"/>
  <c r="A2" i="7"/>
  <c r="A2" i="4"/>
  <c r="A2" i="2"/>
  <c r="A2" i="14"/>
  <c r="U2" i="25"/>
  <c r="V3" i="17"/>
  <c r="Y3" i="17"/>
  <c r="Q38" i="18" l="1"/>
  <c r="G9" i="8"/>
  <c r="U2" i="26" s="1"/>
  <c r="F33" i="9"/>
  <c r="T24" i="27" s="1"/>
  <c r="F59" i="1"/>
  <c r="B20" i="2"/>
  <c r="P13" i="16" s="1"/>
  <c r="C62" i="1"/>
  <c r="Q54" i="15" s="1"/>
  <c r="G43" i="8"/>
  <c r="U53" i="26"/>
  <c r="R3" i="16"/>
  <c r="D20" i="2"/>
  <c r="R13" i="16" s="1"/>
  <c r="E59" i="1"/>
  <c r="P95" i="15"/>
  <c r="G33" i="9"/>
  <c r="U24" i="27" s="1"/>
  <c r="C23" i="4"/>
  <c r="C25" i="4" s="1"/>
  <c r="G65" i="5"/>
  <c r="U56" i="20" s="1"/>
  <c r="F77" i="8"/>
  <c r="T68" i="26" s="1"/>
  <c r="T3" i="16"/>
  <c r="F20" i="2"/>
  <c r="T13" i="16" s="1"/>
  <c r="H20" i="2"/>
  <c r="V13" i="16" s="1"/>
  <c r="V3" i="16"/>
  <c r="B62" i="1"/>
  <c r="P54" i="15" s="1"/>
  <c r="P42" i="15"/>
  <c r="Q60" i="20"/>
  <c r="C75" i="5"/>
  <c r="Q62" i="20" s="1"/>
  <c r="Q104" i="15"/>
  <c r="F81" i="1"/>
  <c r="Q120" i="15" s="1"/>
  <c r="B33" i="9"/>
  <c r="P24" i="27" s="1"/>
  <c r="P2" i="27"/>
  <c r="C77" i="8"/>
  <c r="Q68" i="26" s="1"/>
  <c r="B77" i="8"/>
  <c r="P68" i="26" s="1"/>
  <c r="D77" i="8"/>
  <c r="R68" i="26" s="1"/>
  <c r="C84" i="6"/>
  <c r="Q76" i="24" s="1"/>
  <c r="G9" i="6"/>
  <c r="R76" i="24"/>
  <c r="B159" i="6"/>
  <c r="P150" i="24" s="1"/>
  <c r="F159" i="6"/>
  <c r="T150" i="24" s="1"/>
  <c r="T2" i="24"/>
  <c r="D159" i="6"/>
  <c r="R150" i="24" s="1"/>
  <c r="D70" i="5"/>
  <c r="D73" i="5" s="1"/>
  <c r="B70" i="5"/>
  <c r="B73" i="5" s="1"/>
  <c r="E70" i="5"/>
  <c r="E73" i="5" s="1"/>
  <c r="F70" i="5"/>
  <c r="F73" i="5" s="1"/>
  <c r="U34" i="20"/>
  <c r="G70" i="5"/>
  <c r="G73" i="5" s="1"/>
  <c r="P13" i="18"/>
  <c r="P14" i="18"/>
  <c r="D74" i="4"/>
  <c r="R39" i="18" s="1"/>
  <c r="R38" i="18"/>
  <c r="Q13" i="18"/>
  <c r="D23" i="4"/>
  <c r="R12" i="18"/>
  <c r="P60" i="20" l="1"/>
  <c r="B75" i="5"/>
  <c r="P62" i="20" s="1"/>
  <c r="U2" i="24"/>
  <c r="D75" i="5"/>
  <c r="R62" i="20" s="1"/>
  <c r="R60" i="20"/>
  <c r="E81" i="1"/>
  <c r="P120" i="15" s="1"/>
  <c r="P104" i="15"/>
  <c r="U35" i="26"/>
  <c r="G77" i="8"/>
  <c r="U68" i="26" s="1"/>
  <c r="U60" i="20"/>
  <c r="G75" i="5"/>
  <c r="U62" i="20" s="1"/>
  <c r="F75" i="5"/>
  <c r="T62" i="20" s="1"/>
  <c r="T60" i="20"/>
  <c r="S60" i="20"/>
  <c r="E75" i="5"/>
  <c r="S62" i="20" s="1"/>
  <c r="C159" i="6"/>
  <c r="Q150" i="24" s="1"/>
  <c r="C33" i="4"/>
  <c r="Q18" i="18" s="1"/>
  <c r="Q14" i="18"/>
  <c r="D25" i="4"/>
  <c r="R13" i="18"/>
  <c r="R14" i="18" l="1"/>
  <c r="D33" i="4"/>
  <c r="R18" i="18" s="1"/>
  <c r="S78" i="24"/>
  <c r="E85" i="6"/>
  <c r="E84" i="6" s="1"/>
  <c r="G86" i="6"/>
  <c r="G87" i="6" l="1"/>
  <c r="U79" i="24" s="1"/>
  <c r="R79" i="24"/>
  <c r="G85" i="6"/>
  <c r="E159" i="6"/>
  <c r="S150" i="24" s="1"/>
  <c r="S76" i="24"/>
  <c r="S77" i="24"/>
  <c r="U78" i="24"/>
  <c r="U77" i="24" l="1"/>
  <c r="G84" i="6"/>
  <c r="G159" i="6" s="1"/>
  <c r="U150" i="24" s="1"/>
  <c r="U76" i="24" l="1"/>
  <c r="G19" i="7"/>
  <c r="G29" i="7" s="1"/>
  <c r="U4" i="25" s="1"/>
  <c r="C19" i="7"/>
  <c r="C29" i="7" s="1"/>
  <c r="Q4" i="25" s="1"/>
  <c r="D19" i="7"/>
  <c r="R3" i="25" s="1"/>
  <c r="E19" i="7"/>
  <c r="S3" i="25" s="1"/>
  <c r="F19" i="7"/>
  <c r="F29" i="7" s="1"/>
  <c r="T4" i="25" s="1"/>
  <c r="B19" i="7"/>
  <c r="P3" i="25" s="1"/>
  <c r="B29" i="7" l="1"/>
  <c r="P4" i="25" s="1"/>
  <c r="D29" i="7"/>
  <c r="R4" i="25" s="1"/>
  <c r="E29" i="7"/>
  <c r="S4" i="25" s="1"/>
  <c r="Q3" i="25"/>
  <c r="U3" i="25"/>
  <c r="T3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<sst xmlns="http://schemas.openxmlformats.org/spreadsheetml/2006/main" count="4243" uniqueCount="3305">
  <si>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</si>
  <si>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</si>
  <si>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</si>
  <si>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</si>
  <si>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</si>
  <si>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</si>
  <si>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</si>
  <si>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</si>
  <si>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</si>
  <si>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</si>
  <si>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</si>
  <si>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</si>
  <si>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</si>
  <si>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</si>
  <si>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</si>
  <si>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</si>
  <si>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</si>
  <si>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</si>
  <si>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</si>
  <si>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</si>
  <si>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</si>
  <si>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</si>
  <si>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</si>
  <si>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</si>
  <si>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</si>
  <si>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</si>
  <si>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</si>
  <si>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</si>
  <si>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</si>
  <si>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</si>
  <si>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</si>
  <si>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</si>
  <si>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</si>
  <si>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</si>
  <si>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</si>
  <si>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</si>
  <si>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</si>
  <si>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</si>
  <si>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</si>
  <si>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</si>
  <si>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</si>
  <si>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</si>
  <si>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</si>
  <si>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</si>
  <si>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</si>
  <si>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</si>
  <si>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</si>
  <si>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</si>
  <si>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</si>
  <si>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</si>
  <si>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</si>
  <si>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</si>
  <si>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</si>
  <si>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</si>
  <si>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</si>
  <si>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</si>
  <si>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</si>
  <si>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</si>
  <si>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</si>
  <si>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</si>
  <si>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</si>
  <si>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</si>
  <si>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</si>
  <si>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</si>
  <si>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</si>
  <si>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</si>
  <si>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</si>
  <si>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</si>
  <si>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</si>
  <si>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</si>
  <si>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</si>
  <si>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</si>
  <si>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</si>
  <si>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</si>
  <si>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</si>
  <si>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</si>
  <si>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</si>
  <si>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</si>
  <si>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</si>
  <si>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</si>
  <si>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</si>
  <si>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</si>
  <si>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</si>
  <si>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</si>
  <si>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</si>
  <si>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</si>
  <si>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</si>
  <si>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</si>
  <si>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</si>
  <si>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</si>
  <si>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</si>
  <si>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</si>
  <si>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</si>
  <si>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</si>
  <si>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</si>
  <si>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</si>
  <si>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</si>
  <si>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</si>
  <si>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</si>
  <si>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</si>
  <si>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</si>
  <si>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</si>
  <si>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</si>
  <si>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</si>
  <si>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</si>
  <si>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</si>
  <si>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</si>
  <si>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</si>
  <si>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</si>
  <si>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</si>
  <si>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</si>
  <si>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</si>
  <si>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</si>
  <si>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</si>
  <si>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</si>
  <si>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</si>
  <si>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</si>
  <si>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</si>
  <si>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</si>
  <si>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</si>
  <si>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</si>
  <si>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</si>
  <si>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</si>
  <si>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</si>
  <si>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</si>
  <si>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</si>
  <si>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</si>
  <si>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</si>
  <si>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</si>
  <si>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</si>
  <si>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</si>
  <si>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</si>
  <si>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</si>
  <si>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</si>
  <si>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</si>
  <si>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</si>
  <si>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</si>
  <si>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</si>
  <si>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</si>
  <si>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</si>
  <si>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</si>
  <si>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</si>
  <si>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</si>
  <si>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</si>
  <si>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</si>
  <si>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</si>
  <si>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</si>
  <si>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</si>
  <si>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</si>
  <si>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</si>
  <si>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</si>
  <si>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</si>
  <si>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</si>
  <si>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</si>
  <si>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</si>
  <si>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</si>
  <si>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</si>
  <si>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</si>
  <si>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</si>
  <si>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</si>
  <si>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</si>
  <si>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</si>
  <si>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</si>
  <si>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</si>
  <si>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</si>
  <si>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</si>
  <si>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</si>
  <si>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</si>
  <si>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</si>
  <si>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</si>
  <si>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</si>
  <si>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</si>
  <si>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</si>
  <si>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</si>
  <si>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</si>
  <si>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</si>
  <si>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</si>
  <si>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</si>
  <si>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</si>
  <si>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</si>
  <si>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</si>
  <si>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</si>
  <si>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</si>
  <si>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</si>
  <si>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</si>
  <si>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</si>
  <si>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</si>
  <si>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</si>
  <si>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</si>
  <si>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</si>
  <si>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</si>
  <si>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</si>
  <si>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</si>
  <si>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</si>
  <si>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</si>
  <si>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</si>
  <si>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</si>
  <si>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</si>
  <si>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</si>
  <si>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</si>
  <si>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</si>
  <si>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</si>
  <si>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</si>
  <si>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</si>
  <si>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</si>
  <si>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</si>
  <si>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</si>
  <si>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</si>
  <si>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</si>
  <si>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</si>
  <si>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</si>
  <si>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</si>
  <si>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</si>
  <si>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</si>
  <si>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</si>
  <si>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</si>
  <si>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</si>
  <si>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</si>
  <si>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</si>
  <si>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</si>
  <si>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</si>
  <si>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</si>
  <si>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</si>
  <si>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</si>
  <si>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</si>
  <si>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</si>
  <si>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</si>
  <si>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</si>
  <si>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</si>
  <si>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</si>
  <si>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</si>
  <si>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</si>
  <si>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</si>
  <si>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</si>
  <si>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</si>
  <si>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</si>
  <si>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</si>
  <si>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</si>
  <si>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</si>
  <si>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</si>
  <si>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</si>
  <si>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</si>
  <si>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</si>
  <si>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</si>
  <si>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</si>
  <si>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</si>
  <si>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</si>
  <si>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</si>
  <si>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</si>
  <si>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</si>
  <si>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</si>
  <si>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</si>
  <si>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</si>
  <si>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</si>
  <si>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</si>
  <si>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</si>
  <si>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</si>
  <si>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</si>
  <si>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</si>
  <si>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</si>
  <si>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</si>
  <si>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</si>
  <si>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</si>
  <si>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</si>
  <si>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</si>
  <si>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</si>
  <si>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</si>
  <si>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</si>
  <si>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</si>
  <si>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</si>
  <si>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</si>
  <si>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</si>
  <si>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</si>
  <si>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</si>
  <si>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</si>
  <si>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</si>
  <si>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</si>
  <si>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</si>
  <si>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</si>
  <si>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</si>
  <si>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</si>
  <si>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</si>
  <si>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</si>
  <si>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</si>
  <si>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</si>
  <si>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</si>
  <si>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</si>
  <si>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</si>
  <si>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</si>
  <si>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</si>
  <si>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</si>
  <si>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</si>
  <si>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</si>
  <si>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</si>
  <si>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</si>
  <si>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</si>
  <si>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</si>
  <si>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</si>
  <si>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</si>
  <si>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</si>
  <si>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</si>
  <si>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</si>
  <si>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</si>
  <si>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</si>
  <si>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</si>
  <si>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</si>
  <si>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</si>
  <si>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</si>
  <si>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</si>
  <si>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</si>
  <si>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</si>
  <si>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</si>
  <si>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</si>
  <si>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</si>
  <si>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</si>
  <si>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</si>
  <si>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</si>
  <si>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</si>
  <si>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</si>
  <si>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</si>
  <si>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</si>
  <si>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</si>
  <si>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</si>
  <si>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</si>
  <si>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</si>
  <si>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</si>
  <si>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</si>
  <si>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</si>
  <si>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</si>
  <si>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</si>
  <si>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</si>
  <si>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</si>
  <si>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</si>
  <si>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</si>
  <si>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</si>
  <si>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</si>
  <si>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</si>
  <si>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</si>
  <si>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</si>
  <si>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</si>
  <si>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</si>
  <si>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</si>
  <si>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</si>
  <si>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</si>
  <si>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</si>
  <si>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</si>
  <si>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</si>
  <si>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</si>
  <si>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</si>
  <si>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</si>
  <si>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</si>
  <si>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</si>
  <si>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</si>
  <si>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</si>
  <si>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</si>
  <si>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</si>
  <si>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</si>
  <si>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</si>
  <si>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</si>
  <si>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</si>
  <si>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</si>
  <si>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</si>
  <si>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</si>
  <si>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</si>
  <si>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</si>
  <si>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</si>
  <si>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</si>
  <si>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</si>
  <si>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</si>
  <si>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</si>
  <si>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</si>
  <si>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</si>
  <si>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</si>
  <si>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</si>
  <si>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</si>
  <si>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</si>
  <si>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</si>
  <si>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</si>
  <si>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</si>
  <si>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</si>
  <si>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</si>
  <si>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</si>
  <si>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</si>
  <si>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</si>
  <si>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</si>
  <si>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</si>
  <si>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</si>
  <si>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</si>
  <si>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</si>
  <si>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</si>
  <si>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</si>
  <si>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</si>
  <si>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</si>
  <si>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</si>
  <si>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</si>
  <si>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</si>
  <si>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</si>
  <si>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</si>
  <si>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</si>
  <si>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</si>
  <si>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</si>
  <si>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</si>
  <si>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</si>
  <si>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</si>
  <si>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</si>
  <si>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</si>
  <si>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</si>
  <si>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</si>
  <si>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</si>
  <si>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</si>
  <si>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</si>
  <si>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</si>
  <si>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</si>
  <si>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</si>
  <si>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</si>
  <si>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</si>
  <si>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</si>
  <si>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</si>
  <si>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</si>
  <si>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</si>
  <si>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</si>
  <si>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</si>
  <si>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</si>
  <si>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</si>
  <si>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</si>
  <si>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</si>
  <si>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</si>
  <si>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</si>
  <si>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</si>
  <si>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</si>
  <si>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</si>
  <si>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</si>
  <si>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</si>
  <si>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</si>
  <si>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</si>
  <si>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</si>
  <si>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</si>
  <si>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</si>
  <si>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</si>
  <si>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</si>
  <si>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</si>
  <si>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</si>
  <si>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</si>
  <si>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</si>
  <si>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</si>
  <si>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</si>
  <si>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</si>
  <si>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</si>
  <si>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</si>
  <si>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</si>
  <si>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</si>
  <si>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</si>
  <si>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</si>
  <si>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</si>
  <si>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</si>
  <si>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</si>
  <si>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</si>
  <si>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</si>
  <si>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</si>
  <si>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</si>
  <si>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</si>
  <si>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</si>
  <si>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</si>
  <si>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</si>
  <si>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</si>
  <si>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</si>
  <si>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</si>
  <si>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</si>
  <si>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</si>
  <si>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</si>
  <si>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</si>
  <si>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</si>
  <si>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</si>
  <si>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</si>
  <si>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</si>
  <si>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</si>
  <si>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</si>
  <si>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</si>
  <si>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</si>
  <si>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</si>
  <si>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</si>
  <si>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</si>
  <si>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</si>
  <si>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</si>
  <si>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</si>
  <si>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</si>
  <si>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</si>
  <si>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</si>
  <si>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</si>
  <si>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</si>
  <si>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</si>
  <si>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</si>
  <si>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</si>
  <si>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</si>
  <si>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</si>
  <si>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</si>
  <si>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</si>
  <si>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</si>
  <si>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</si>
  <si>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</si>
  <si>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</si>
  <si>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</si>
  <si>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</si>
  <si>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</si>
  <si>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</si>
  <si>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</si>
  <si>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</si>
  <si>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</si>
  <si>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</si>
  <si>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</si>
  <si>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</si>
  <si>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</si>
  <si>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</si>
  <si>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</si>
  <si>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</si>
  <si>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</si>
  <si>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</si>
  <si>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</si>
  <si>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</si>
  <si>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</si>
  <si>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</si>
  <si>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</si>
  <si>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</si>
  <si>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</si>
  <si>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</si>
  <si>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</si>
  <si>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</si>
  <si>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</si>
  <si>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</si>
  <si>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</si>
  <si>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</si>
  <si>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</si>
  <si>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</si>
  <si>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</si>
  <si>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</si>
  <si>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</si>
  <si>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</si>
  <si>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</si>
  <si>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</si>
  <si>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</si>
  <si>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</si>
  <si>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</si>
  <si>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</si>
  <si>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</si>
  <si>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</si>
  <si>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</si>
  <si>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</si>
  <si>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</si>
  <si>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</si>
  <si>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</si>
  <si>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</si>
  <si>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</si>
  <si>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</si>
  <si>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</si>
  <si>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</si>
  <si>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</si>
  <si>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</si>
  <si>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</si>
  <si>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</si>
  <si>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</si>
  <si>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</si>
  <si>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</si>
  <si>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</si>
  <si>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</si>
  <si>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</si>
  <si>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</si>
  <si>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</si>
  <si>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</si>
  <si>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</si>
  <si>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</si>
  <si>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</si>
  <si>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</si>
  <si>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</si>
  <si>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</si>
  <si>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</si>
  <si>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</si>
  <si>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</si>
  <si>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</si>
  <si>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</si>
  <si>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</si>
  <si>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</si>
  <si>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</si>
  <si>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</si>
  <si>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</si>
  <si>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</si>
  <si>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</si>
  <si>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</si>
  <si>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</si>
  <si>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</si>
  <si>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</si>
  <si>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</si>
  <si>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</si>
  <si>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</si>
  <si>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</si>
  <si>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</si>
  <si>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</si>
  <si>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</si>
  <si>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</si>
  <si>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</si>
  <si>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</si>
  <si>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</si>
  <si>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</si>
  <si>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</si>
  <si>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</si>
  <si>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</si>
  <si>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</si>
  <si>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</si>
  <si>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</si>
  <si>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</si>
  <si>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</si>
  <si>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</si>
  <si>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</si>
  <si>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</si>
  <si>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</si>
  <si>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</si>
  <si>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</si>
  <si>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</si>
  <si>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</si>
  <si>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</si>
  <si>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</si>
  <si>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</si>
  <si>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</si>
  <si>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</si>
  <si>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</si>
  <si>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</si>
  <si>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</si>
  <si>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</si>
  <si>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</si>
  <si>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</si>
  <si>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</si>
  <si>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</si>
  <si>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</si>
  <si>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</si>
  <si>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</si>
  <si>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</si>
  <si>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</si>
  <si>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</si>
  <si>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</si>
  <si>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</si>
  <si>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</si>
  <si>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</si>
  <si>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</si>
  <si>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</si>
  <si>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</si>
  <si>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</si>
  <si>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</si>
  <si>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</si>
  <si>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</si>
  <si>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</si>
  <si>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</si>
  <si>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</si>
  <si>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</si>
  <si>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</si>
  <si>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</si>
  <si>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</si>
  <si>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</si>
  <si>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</si>
  <si>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</si>
  <si>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</si>
  <si>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</si>
  <si>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</si>
  <si>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</si>
  <si>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</si>
  <si>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</si>
  <si>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</si>
  <si>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</si>
  <si>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</si>
  <si>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</si>
  <si>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</si>
  <si>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</si>
  <si>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</si>
  <si>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</si>
  <si>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</si>
  <si>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</si>
  <si>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</si>
  <si>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</si>
  <si>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</si>
  <si>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</si>
  <si>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</si>
  <si>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</si>
  <si>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</si>
  <si>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</si>
  <si>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</si>
  <si>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</si>
  <si>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</si>
  <si>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</si>
  <si>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</si>
  <si>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</si>
  <si>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</si>
  <si>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</si>
  <si>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</si>
  <si>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</si>
  <si>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</si>
  <si>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</si>
  <si>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</si>
  <si>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</si>
  <si>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</si>
  <si>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</si>
  <si>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</si>
  <si>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</si>
  <si>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</si>
  <si>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</si>
  <si>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</si>
  <si>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</si>
  <si>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</si>
  <si>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</si>
  <si>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</si>
  <si>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</si>
  <si>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</si>
  <si>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</si>
  <si>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</si>
  <si>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</si>
  <si>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</si>
  <si>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</si>
  <si>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</si>
  <si>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</si>
  <si>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</si>
  <si>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</si>
  <si>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</si>
  <si>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</si>
  <si>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</si>
  <si>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</si>
  <si>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</si>
  <si>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</si>
  <si>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</si>
  <si>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</si>
  <si>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</si>
  <si>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</si>
  <si>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</si>
  <si>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</si>
  <si>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</si>
  <si>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</si>
  <si>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</si>
  <si>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</si>
  <si>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</si>
  <si>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</si>
  <si>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</si>
  <si>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</si>
  <si>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</si>
  <si>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</si>
  <si>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</si>
  <si>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</si>
  <si>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</si>
  <si>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</si>
  <si>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</si>
  <si>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</si>
  <si>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</si>
  <si>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</si>
  <si>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</si>
  <si>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</si>
  <si>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</si>
  <si>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</si>
  <si>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</si>
  <si>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</si>
  <si>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</si>
  <si>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</si>
  <si>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</si>
  <si>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</si>
  <si>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</si>
  <si>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</si>
  <si>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</si>
  <si>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</si>
  <si>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</si>
  <si>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</si>
  <si>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</si>
  <si>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</si>
  <si>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</si>
  <si>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</si>
  <si>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</si>
  <si>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</si>
  <si>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</si>
  <si>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</si>
  <si>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</si>
  <si>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</si>
  <si>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</si>
  <si>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</si>
  <si>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</si>
  <si>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</si>
  <si>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</si>
  <si>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</si>
  <si>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</si>
  <si>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</si>
  <si>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</si>
  <si>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</si>
  <si>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</si>
  <si>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</si>
  <si>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</si>
  <si>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</si>
  <si>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</si>
  <si>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</si>
  <si>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</si>
  <si>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</si>
  <si>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</si>
  <si>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</si>
  <si>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</si>
  <si>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</si>
  <si>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</si>
  <si>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</si>
  <si>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</si>
  <si>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</si>
  <si>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</si>
  <si>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</si>
  <si>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</si>
  <si>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</si>
  <si>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</si>
  <si>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</si>
  <si>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</si>
  <si>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</si>
  <si>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</si>
  <si>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</si>
  <si>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</si>
  <si>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</si>
  <si>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</si>
  <si>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</si>
  <si>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</si>
  <si>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</si>
  <si>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</si>
  <si>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</si>
  <si>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</si>
  <si>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</si>
  <si>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</si>
  <si>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</si>
  <si>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</si>
  <si>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</si>
  <si>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</si>
  <si>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</si>
  <si>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</si>
  <si>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</si>
  <si>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</si>
  <si>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</si>
  <si>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</si>
  <si>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</si>
  <si>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</si>
  <si>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</si>
  <si>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</si>
  <si>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</si>
  <si>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</si>
  <si>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</si>
  <si>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</si>
  <si>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</si>
  <si>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</si>
  <si>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</si>
  <si>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</si>
  <si>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</si>
  <si>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</si>
  <si>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</si>
  <si>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</si>
  <si>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</si>
  <si>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</si>
  <si>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</si>
  <si>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</si>
  <si>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</si>
  <si>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</si>
  <si>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</si>
  <si>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</si>
  <si>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</si>
  <si>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</si>
  <si>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</si>
  <si>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</si>
  <si>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</si>
  <si>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</si>
  <si>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</si>
  <si>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</si>
  <si>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</si>
  <si>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</si>
  <si>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</si>
  <si>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</si>
  <si>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</si>
  <si>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</si>
  <si>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</si>
  <si>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</si>
  <si>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</si>
  <si>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</si>
  <si>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</si>
  <si>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</si>
  <si>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</si>
  <si>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</si>
  <si>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</si>
  <si>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</si>
  <si>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</si>
  <si>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</si>
  <si>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</si>
  <si>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</si>
  <si>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</si>
  <si>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</si>
  <si>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</si>
  <si>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</si>
  <si>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</si>
  <si>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</si>
  <si>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</si>
  <si>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</si>
  <si>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</si>
  <si>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</si>
  <si>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</si>
  <si>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</si>
  <si>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</si>
  <si>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</si>
  <si>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</si>
  <si>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</si>
  <si>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</si>
  <si>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</si>
  <si>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</si>
  <si>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</si>
  <si>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</si>
  <si>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</si>
  <si>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</si>
  <si>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</si>
  <si>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</si>
  <si>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</si>
  <si>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</si>
  <si>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</si>
  <si>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</si>
  <si>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</si>
  <si>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</si>
  <si>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</si>
  <si>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</si>
  <si>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</si>
  <si>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</si>
  <si>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</si>
  <si>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</si>
  <si>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</si>
  <si>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</si>
  <si>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</si>
  <si>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</si>
  <si>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</si>
  <si>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</si>
  <si>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</si>
  <si>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</si>
  <si>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</si>
  <si>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</si>
  <si>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</si>
  <si>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</si>
  <si>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</si>
  <si>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</si>
  <si>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</si>
  <si>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</si>
  <si>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</si>
  <si>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</si>
  <si>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</si>
  <si>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</si>
  <si>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</si>
  <si>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</si>
  <si>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</si>
  <si>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</si>
  <si>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</si>
  <si>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</si>
  <si>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</si>
  <si>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</si>
  <si>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</si>
  <si>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</si>
  <si>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</si>
  <si>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</si>
  <si>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</si>
  <si>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</si>
  <si>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</si>
  <si>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</si>
  <si>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</si>
  <si>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</si>
  <si>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</si>
  <si>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</si>
  <si>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</si>
  <si>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</si>
  <si>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</si>
  <si>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</si>
  <si>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</si>
  <si>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</si>
  <si>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</si>
  <si>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</si>
  <si>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</si>
  <si>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</si>
  <si>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</si>
  <si>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</si>
  <si>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</si>
  <si>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</si>
  <si>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</si>
  <si>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</si>
  <si>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</si>
  <si>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</si>
  <si>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</si>
  <si>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</si>
  <si>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</si>
  <si>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</si>
  <si>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</si>
  <si>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</si>
  <si>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</si>
  <si>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</si>
  <si>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</si>
  <si>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</si>
  <si>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</si>
  <si>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</si>
  <si>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</si>
  <si>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</si>
  <si>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</si>
  <si>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</si>
  <si>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</si>
  <si>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</si>
  <si>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</si>
  <si>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</si>
  <si>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</si>
  <si>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</si>
  <si>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</si>
  <si>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</si>
  <si>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</si>
  <si>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</si>
  <si>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</si>
  <si>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</si>
  <si>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</si>
  <si>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</si>
  <si>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</si>
  <si>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</si>
  <si>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</si>
  <si>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</si>
  <si>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</si>
  <si>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</si>
  <si>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</si>
  <si>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</si>
  <si>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</si>
  <si>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</si>
  <si>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</si>
  <si>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</si>
  <si>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</si>
  <si>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</si>
  <si>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</si>
  <si>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</si>
  <si>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</si>
  <si>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</si>
  <si>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</si>
  <si>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</si>
  <si>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</si>
  <si>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</si>
  <si>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</si>
  <si>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</si>
  <si>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</si>
  <si>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</si>
  <si>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</si>
  <si>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</si>
  <si>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</si>
  <si>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</si>
  <si>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</si>
  <si>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</si>
  <si>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</si>
  <si>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</si>
  <si>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</si>
  <si>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</si>
  <si>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</si>
  <si>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</si>
  <si>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</si>
  <si>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</si>
  <si>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</si>
  <si>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</si>
  <si>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</si>
  <si>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</si>
  <si>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</si>
  <si>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</si>
  <si>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</si>
  <si>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</si>
  <si>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</si>
  <si>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</si>
  <si>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</si>
  <si>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</si>
  <si>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</si>
  <si>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</si>
  <si>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</si>
  <si>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</si>
  <si>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</si>
  <si>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</si>
  <si>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</si>
  <si>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</si>
  <si>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</si>
  <si>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</si>
  <si>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</si>
  <si>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</si>
  <si>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</si>
  <si>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</si>
  <si>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</si>
  <si>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</si>
  <si>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</si>
  <si>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</si>
  <si>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</si>
  <si>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</si>
  <si>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</si>
  <si>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</si>
  <si>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</si>
  <si>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</si>
  <si>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</si>
  <si>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</si>
  <si>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</si>
  <si>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</si>
  <si>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</si>
  <si>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</si>
  <si>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</si>
  <si>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</si>
  <si>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</si>
  <si>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</si>
  <si>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</si>
  <si>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</si>
  <si>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</si>
  <si>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</si>
  <si>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</si>
  <si>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</si>
  <si>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</si>
  <si>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</si>
  <si>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</si>
  <si>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</si>
  <si>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</si>
  <si>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</si>
  <si>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</si>
  <si>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</si>
  <si>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</si>
  <si>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</si>
  <si>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</si>
  <si>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</si>
  <si>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</si>
  <si>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</si>
  <si>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</si>
  <si>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</si>
  <si>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</si>
  <si>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</si>
  <si>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</si>
  <si>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</si>
  <si>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</si>
  <si>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</si>
  <si>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</si>
  <si>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</si>
  <si>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</si>
  <si>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</si>
  <si>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</si>
  <si>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</si>
  <si>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</si>
  <si>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</si>
  <si>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</si>
  <si>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</si>
  <si>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</si>
  <si>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</si>
  <si>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</si>
  <si>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</si>
  <si>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</si>
  <si>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</si>
  <si>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</si>
  <si>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</si>
  <si>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</si>
  <si>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</si>
  <si>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</si>
  <si>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</si>
  <si>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</si>
  <si>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</si>
  <si>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</si>
  <si>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</si>
  <si>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</si>
  <si>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</si>
  <si>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</si>
  <si>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</si>
  <si>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</si>
  <si>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</si>
  <si>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</si>
  <si>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</si>
  <si>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</si>
  <si>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</si>
  <si>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</si>
  <si>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</si>
  <si>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</si>
  <si>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</si>
  <si>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</si>
  <si>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</si>
  <si>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</si>
  <si>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</si>
  <si>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</si>
  <si>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</si>
  <si>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</si>
  <si>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</si>
  <si>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</si>
  <si>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</si>
  <si>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</si>
  <si>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</si>
  <si>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</si>
  <si>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</si>
  <si>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</si>
  <si>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</si>
  <si>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</si>
  <si>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</si>
  <si>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</si>
  <si>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</si>
  <si>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</si>
  <si>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</si>
  <si>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</si>
  <si>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</si>
  <si>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</si>
  <si>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</si>
  <si>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</si>
  <si>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</si>
  <si>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</si>
  <si>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</si>
  <si>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</si>
  <si>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</si>
  <si>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</si>
  <si>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</si>
  <si>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</si>
  <si>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</si>
  <si>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</si>
  <si>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</si>
  <si>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</si>
  <si>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</si>
  <si>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</si>
  <si>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</si>
  <si>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</si>
  <si>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</si>
  <si>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</si>
  <si>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</si>
  <si>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</si>
  <si>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</si>
  <si>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</si>
  <si>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</si>
  <si>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</si>
  <si>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</si>
  <si>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</si>
  <si>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</si>
  <si>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</si>
  <si>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</si>
  <si>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</si>
  <si>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</si>
  <si>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</si>
  <si>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</si>
  <si>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</si>
  <si>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</si>
  <si>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</si>
  <si>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</si>
  <si>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</si>
  <si>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</si>
  <si>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</si>
  <si>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</si>
  <si>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</si>
  <si>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</si>
  <si>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</si>
  <si>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</si>
  <si>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</si>
  <si>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</si>
  <si>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</si>
  <si>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</si>
  <si>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</si>
  <si>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</si>
  <si>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</si>
  <si>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</si>
  <si>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</si>
  <si>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</si>
  <si>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</si>
  <si>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</si>
  <si>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</si>
  <si>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</si>
  <si>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</si>
  <si>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</si>
  <si>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</si>
  <si>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</si>
  <si>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</si>
  <si>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</si>
  <si>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</si>
  <si>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</si>
  <si>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</si>
  <si>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</si>
  <si>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</si>
  <si>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</si>
  <si>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</si>
  <si>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</si>
  <si>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</si>
  <si>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</si>
  <si>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</si>
  <si>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</si>
  <si>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</si>
  <si>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</si>
  <si>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</si>
  <si>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</si>
  <si>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</si>
  <si>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</si>
  <si>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</si>
  <si>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</si>
  <si>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</si>
  <si>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</si>
  <si>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</si>
  <si>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</si>
  <si>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</si>
  <si>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</si>
  <si>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</si>
  <si>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</si>
  <si>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</si>
  <si>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</si>
  <si>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</si>
  <si>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</si>
  <si>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</si>
  <si>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</si>
  <si>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</si>
  <si>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</si>
  <si>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</si>
  <si>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</si>
  <si>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</si>
  <si>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</si>
  <si>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</si>
  <si>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</si>
  <si>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</si>
  <si>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</si>
  <si>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</si>
  <si>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</si>
  <si>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</si>
  <si>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</si>
  <si>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</si>
  <si>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</si>
  <si>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</si>
  <si>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</si>
  <si>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</si>
  <si>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</si>
  <si>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</si>
  <si>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</si>
  <si>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</si>
  <si>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</si>
  <si>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</si>
  <si>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</si>
  <si>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</si>
  <si>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</si>
  <si>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</si>
  <si>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</si>
  <si>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</si>
  <si>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</si>
  <si>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</si>
  <si>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</si>
  <si>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</si>
  <si>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</si>
  <si>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</si>
  <si>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</si>
  <si>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</si>
  <si>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</si>
  <si>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</si>
  <si>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</si>
  <si>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</si>
  <si>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</si>
  <si>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</si>
  <si>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</si>
  <si>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</si>
  <si>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</si>
  <si>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</si>
  <si>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</si>
  <si>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</si>
  <si>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</si>
  <si>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</si>
  <si>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</si>
  <si>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</si>
  <si>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</si>
  <si>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</si>
  <si>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</si>
  <si>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</si>
  <si>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</si>
  <si>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</si>
  <si>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</si>
  <si>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</si>
  <si>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</si>
  <si>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</si>
  <si>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</si>
  <si>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</si>
  <si>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</si>
  <si>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</si>
  <si>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</si>
  <si>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</si>
  <si>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</si>
  <si>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</si>
  <si>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</si>
  <si>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</si>
  <si>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</si>
  <si>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</si>
  <si>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</si>
  <si>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</si>
  <si>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</si>
  <si>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</si>
  <si>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</si>
  <si>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</si>
  <si>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</si>
  <si>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</si>
  <si>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</si>
  <si>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</si>
  <si>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</si>
  <si>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</si>
  <si>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</si>
  <si>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</si>
  <si>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</si>
  <si>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</si>
  <si>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</si>
  <si>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</si>
  <si>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</si>
  <si>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</si>
  <si>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</si>
  <si>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</si>
  <si>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</si>
  <si>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</si>
  <si>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</si>
  <si>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</si>
  <si>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</si>
  <si>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</si>
  <si>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</si>
  <si>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</si>
  <si>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</si>
  <si>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</si>
  <si>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</si>
  <si>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</si>
  <si>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</si>
  <si>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</si>
  <si>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</si>
  <si>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</si>
  <si>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</si>
  <si>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</si>
  <si>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</si>
  <si>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</si>
  <si>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</si>
  <si>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</si>
  <si>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</si>
  <si>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</si>
  <si>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</si>
  <si>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</si>
  <si>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</si>
  <si>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</si>
  <si>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</si>
  <si>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</si>
  <si>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</si>
  <si>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</si>
  <si>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</si>
  <si>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</si>
  <si>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</si>
  <si>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</si>
  <si>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</si>
  <si>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</si>
  <si>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</si>
  <si>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</si>
  <si>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</si>
  <si>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</si>
  <si>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</si>
  <si>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</si>
  <si>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</si>
  <si>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</si>
  <si>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</si>
  <si>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</si>
  <si>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</si>
  <si>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</si>
  <si>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</si>
  <si>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</si>
  <si>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</si>
  <si>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</si>
  <si>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</si>
  <si>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</si>
  <si>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</si>
  <si>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</si>
  <si>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</si>
  <si>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</si>
  <si>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</si>
  <si>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</si>
  <si>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</si>
  <si>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</si>
  <si>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</si>
  <si>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</si>
  <si>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</si>
  <si>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</si>
  <si>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</si>
  <si>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</si>
  <si>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</si>
  <si>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</si>
  <si>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</si>
  <si>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</si>
  <si>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</si>
  <si>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</si>
  <si>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</si>
  <si>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</si>
  <si>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</si>
  <si>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</si>
  <si>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</si>
  <si>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</si>
  <si>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</si>
  <si>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</si>
  <si>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</si>
  <si>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</si>
  <si>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</si>
  <si>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</si>
  <si>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</si>
  <si>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</si>
  <si>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</si>
  <si>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</si>
  <si>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</si>
  <si>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</si>
  <si>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</si>
  <si>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</si>
  <si>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</si>
  <si>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</si>
  <si>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</si>
  <si>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</si>
  <si>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</si>
  <si>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</si>
  <si>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</si>
  <si>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</si>
  <si>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</si>
  <si>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</si>
  <si>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</si>
  <si>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</si>
  <si>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</si>
  <si>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</si>
  <si>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</si>
  <si>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</si>
  <si>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</si>
  <si>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</si>
  <si>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</si>
  <si>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</si>
  <si>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</si>
  <si>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</si>
  <si>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</si>
  <si>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</si>
  <si>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</si>
  <si>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</si>
  <si>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</si>
  <si>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</si>
  <si>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</si>
  <si>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</si>
  <si>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</si>
  <si>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</si>
  <si>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</si>
  <si>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</si>
  <si>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</si>
  <si>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</si>
  <si>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</si>
  <si>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</si>
  <si>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</si>
  <si>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</si>
  <si>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</si>
  <si>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</si>
  <si>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</si>
  <si>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</si>
  <si>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</si>
  <si>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</si>
  <si>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</si>
  <si>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</si>
  <si>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</si>
  <si>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</si>
  <si>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</si>
  <si>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</si>
  <si>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</si>
  <si>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</si>
  <si>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</si>
  <si>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</si>
  <si>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</si>
  <si>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</si>
  <si>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</si>
  <si>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</si>
  <si>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</si>
  <si>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</si>
  <si>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</si>
  <si>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</si>
  <si>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</si>
  <si>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</si>
  <si>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</si>
  <si>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</si>
  <si>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</si>
  <si>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</si>
  <si>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</si>
  <si>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</si>
  <si>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</si>
  <si>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</si>
  <si>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</si>
  <si>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</si>
  <si>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</si>
  <si>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</si>
  <si>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</si>
  <si>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</si>
  <si>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</si>
  <si>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</si>
  <si>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</si>
  <si>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</si>
  <si>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</si>
  <si>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</si>
  <si>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</si>
  <si>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</si>
  <si>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</si>
  <si>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</si>
  <si>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</si>
  <si>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</si>
  <si>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</si>
  <si>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</si>
  <si>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</si>
  <si>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</si>
  <si>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</si>
  <si>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</si>
  <si>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</si>
  <si>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</si>
  <si>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</si>
  <si>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</si>
  <si>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</si>
  <si>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</si>
  <si>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</si>
  <si>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</si>
  <si>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</si>
  <si>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</si>
  <si>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</si>
  <si>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</si>
  <si>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</si>
  <si>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</si>
  <si>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</si>
  <si>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</si>
  <si>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</si>
  <si>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</si>
  <si>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</si>
  <si>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</si>
  <si>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</si>
  <si>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</si>
  <si>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</si>
  <si>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</si>
  <si>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</si>
  <si>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</si>
  <si>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</si>
  <si>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</si>
  <si>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</si>
  <si>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</si>
  <si>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</si>
  <si>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</si>
  <si>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</si>
  <si>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</si>
  <si>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</si>
  <si>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</si>
  <si>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</si>
  <si>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</si>
  <si>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</si>
  <si>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</si>
  <si>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</si>
  <si>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</si>
  <si>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</si>
  <si>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</si>
  <si>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</si>
  <si>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</si>
  <si>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</si>
  <si>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</si>
  <si>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</si>
  <si>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</si>
  <si>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</si>
  <si>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</si>
  <si>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</si>
  <si>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</si>
  <si>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</si>
  <si>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</si>
  <si>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</si>
  <si>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</si>
  <si>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</si>
  <si>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</si>
  <si>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</si>
  <si>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</si>
  <si>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</si>
  <si>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</si>
  <si>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</si>
  <si>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</si>
  <si>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</si>
  <si>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</si>
  <si>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</si>
  <si>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</si>
  <si>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</si>
  <si>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</si>
  <si>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</si>
  <si>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</si>
  <si>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</si>
  <si>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</si>
  <si>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</si>
  <si>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</si>
  <si>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</si>
  <si>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</si>
  <si>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</si>
  <si>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</si>
  <si>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</si>
  <si>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</si>
  <si>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</si>
  <si>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</si>
  <si>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</si>
  <si>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</si>
  <si>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</si>
  <si>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</si>
  <si>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</si>
  <si>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</si>
  <si>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</si>
  <si>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</si>
  <si>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</si>
  <si>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</si>
  <si>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</si>
  <si>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</si>
  <si>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</si>
  <si>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</si>
  <si>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</si>
  <si>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</si>
  <si>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</si>
  <si>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</si>
  <si>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</si>
  <si>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</si>
  <si>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</si>
  <si>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</si>
  <si>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</si>
  <si>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</si>
  <si>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</si>
  <si>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</si>
  <si>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</si>
  <si>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</si>
  <si>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</si>
  <si>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</si>
  <si>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</si>
  <si>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</si>
  <si>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</si>
  <si>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</si>
  <si>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</si>
  <si>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</si>
  <si>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</si>
  <si>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</si>
  <si>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</si>
  <si>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</si>
  <si>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</si>
  <si>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</si>
  <si>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</si>
  <si>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</si>
  <si>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</si>
  <si>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</si>
  <si>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</si>
  <si>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</si>
  <si>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</si>
  <si>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</si>
  <si>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</si>
  <si>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</si>
  <si>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</si>
  <si>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</si>
  <si>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</si>
  <si>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</si>
  <si>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</si>
  <si>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</si>
  <si>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</si>
  <si>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</si>
  <si>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</si>
  <si>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</si>
  <si>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</si>
  <si>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</si>
  <si>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</si>
  <si>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</si>
  <si>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</si>
  <si>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</si>
  <si>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</si>
  <si>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</si>
  <si>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</si>
  <si>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</si>
  <si>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</si>
  <si>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</si>
  <si>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</si>
  <si>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</si>
  <si>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</si>
  <si>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</si>
  <si>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</si>
  <si>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</si>
  <si>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</si>
  <si>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</si>
  <si>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</si>
  <si>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</si>
  <si>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</si>
  <si>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</si>
  <si>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</si>
  <si>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</si>
  <si>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</si>
  <si>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</si>
  <si>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</si>
  <si>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</si>
  <si>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</si>
  <si>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</si>
  <si>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</si>
  <si>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</si>
  <si>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</si>
  <si>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</si>
  <si>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</si>
  <si>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</si>
  <si>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</si>
  <si>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</si>
  <si>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</si>
  <si>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</si>
  <si>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</si>
  <si>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</si>
  <si>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</si>
  <si>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</si>
  <si>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</si>
  <si>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</si>
  <si>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</si>
  <si>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</si>
  <si>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</si>
  <si>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</si>
  <si>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</si>
  <si>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</si>
  <si>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</si>
  <si>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</si>
  <si>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</si>
  <si>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</si>
  <si>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</si>
  <si>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</si>
  <si>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</si>
  <si>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</si>
  <si>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</si>
  <si>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</si>
  <si>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</si>
  <si>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</si>
  <si>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</si>
  <si>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</si>
  <si>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</si>
  <si>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</si>
  <si>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</si>
  <si>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</si>
  <si>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</si>
  <si>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</si>
  <si>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</si>
  <si>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</si>
  <si>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</si>
  <si>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</si>
  <si>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</si>
  <si>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</si>
  <si>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</si>
  <si>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</si>
  <si>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</si>
  <si>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</si>
  <si>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</si>
  <si>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</si>
  <si>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</si>
  <si>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</si>
  <si>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</si>
  <si>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</si>
  <si>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</si>
  <si>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</si>
  <si>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</si>
  <si>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</si>
  <si>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</si>
  <si>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</si>
  <si>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</si>
  <si>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</si>
  <si>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</si>
  <si>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</si>
  <si>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</si>
  <si>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</si>
  <si>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</si>
  <si>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</si>
  <si>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</si>
  <si>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</si>
  <si>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</si>
  <si>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</si>
  <si>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</si>
  <si>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</si>
  <si>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</si>
  <si>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</si>
  <si>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</si>
  <si>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</si>
  <si>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</si>
  <si>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</si>
  <si>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</si>
  <si>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</si>
  <si>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</si>
  <si>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</si>
  <si>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</si>
  <si>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</si>
  <si>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</si>
  <si>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</si>
  <si>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</si>
  <si>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</si>
  <si>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</si>
  <si>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</si>
  <si>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</si>
  <si>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</si>
  <si>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</si>
  <si>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</si>
  <si>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</si>
  <si>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</si>
  <si>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</si>
  <si>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</si>
  <si>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</si>
  <si>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</si>
  <si>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</si>
  <si>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</si>
  <si>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</si>
  <si>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</si>
  <si>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</si>
  <si>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</si>
  <si>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</si>
  <si>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</si>
  <si>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</si>
  <si>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</si>
  <si>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</si>
  <si>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</si>
  <si>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</si>
  <si>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</si>
  <si>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</si>
  <si>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</si>
  <si>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</si>
  <si>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</si>
  <si>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</si>
  <si>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</si>
  <si>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</si>
  <si>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</si>
  <si>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</si>
  <si>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</si>
  <si>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</si>
  <si>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</si>
  <si>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</si>
  <si>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</si>
  <si>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</si>
  <si>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</si>
  <si>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</si>
  <si>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</si>
  <si>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</si>
  <si>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</si>
  <si>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</si>
  <si>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</si>
  <si>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</si>
  <si>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</si>
  <si>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</si>
  <si>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</si>
  <si>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</si>
  <si>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</si>
  <si>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</si>
  <si>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</si>
  <si>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</si>
  <si>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</si>
  <si>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</si>
  <si>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</si>
  <si>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</si>
  <si>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</si>
  <si>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</si>
  <si>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</si>
  <si>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</si>
  <si>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</si>
  <si>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</si>
  <si>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</si>
  <si>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</si>
  <si>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</si>
  <si>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</si>
  <si>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</si>
  <si>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</si>
  <si>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</si>
  <si>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</si>
  <si>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</si>
  <si>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</si>
  <si>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</si>
  <si>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</si>
  <si>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</si>
  <si>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</si>
  <si>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</si>
  <si>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</si>
  <si>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</si>
  <si>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</si>
  <si>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</si>
  <si>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</si>
  <si>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</si>
  <si>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</si>
  <si>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</si>
  <si>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</si>
  <si>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</si>
  <si>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</si>
  <si>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</si>
  <si>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</si>
  <si>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</si>
  <si>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</si>
  <si>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</si>
  <si>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</si>
  <si>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</si>
  <si>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</si>
  <si>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</si>
  <si>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</si>
  <si>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</si>
  <si>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</si>
  <si>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</si>
  <si>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</si>
  <si>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</si>
  <si>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</si>
  <si>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</si>
  <si>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</si>
  <si>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</si>
  <si>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</si>
  <si>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</si>
  <si>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</si>
  <si>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</si>
  <si>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</si>
  <si>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</si>
  <si>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</si>
  <si>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</si>
  <si>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</si>
  <si>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</si>
  <si>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</si>
  <si>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</si>
  <si>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</si>
  <si>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</si>
  <si>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</si>
  <si>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</si>
  <si>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</si>
  <si>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</si>
  <si>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</si>
  <si>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</si>
  <si>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</si>
  <si>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</si>
  <si>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</si>
  <si>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</si>
  <si>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</si>
  <si>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</si>
  <si>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</si>
  <si>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</si>
  <si>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</si>
  <si>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</si>
  <si>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</si>
  <si>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</si>
  <si>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</si>
  <si>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</si>
  <si>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</si>
  <si>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</si>
  <si>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</si>
  <si>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</si>
  <si>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</si>
  <si>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</si>
  <si>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</si>
  <si>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</si>
  <si>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</si>
  <si>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</si>
  <si>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</si>
  <si>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</si>
  <si>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</si>
  <si>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</si>
  <si>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</si>
  <si>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</si>
  <si>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</si>
  <si>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</si>
  <si>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</si>
  <si>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</si>
  <si>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</si>
  <si>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</si>
  <si>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</si>
  <si>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</si>
  <si>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</si>
  <si>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</si>
  <si>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</si>
  <si>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</si>
  <si>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</si>
  <si>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</si>
  <si>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</si>
  <si>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</si>
  <si>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</si>
  <si>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</si>
  <si>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</si>
  <si>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</si>
  <si>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</si>
  <si>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</si>
  <si>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</si>
  <si>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</si>
  <si>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</si>
  <si>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</si>
  <si>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</si>
  <si>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</si>
  <si>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</si>
  <si>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</si>
  <si>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</si>
  <si>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</si>
  <si>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</si>
  <si>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</si>
  <si>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</si>
  <si>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</si>
  <si>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</si>
  <si>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</si>
  <si>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</si>
  <si>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</si>
  <si>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</si>
  <si>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</si>
  <si>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</si>
  <si>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</si>
  <si>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</si>
  <si>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</si>
  <si>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</si>
  <si>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</si>
  <si>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</si>
  <si>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</si>
  <si>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</si>
  <si>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</si>
  <si>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</si>
  <si>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</si>
  <si>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</si>
  <si>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</si>
  <si>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</si>
  <si>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</si>
  <si>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</si>
  <si>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</si>
  <si>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</si>
  <si>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</si>
  <si>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</si>
  <si>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</si>
  <si>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</si>
  <si>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</si>
  <si>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</si>
  <si>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</si>
  <si>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</si>
  <si>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</si>
  <si>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</si>
  <si>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</si>
  <si>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</si>
  <si>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</si>
  <si>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</si>
  <si>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</si>
  <si>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</si>
  <si>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</si>
  <si>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</si>
  <si>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</si>
  <si>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</si>
  <si>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</si>
  <si>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</si>
  <si>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</si>
  <si>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</si>
  <si>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</si>
  <si>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</si>
  <si>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</si>
  <si>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</si>
  <si>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</si>
  <si>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</si>
  <si>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</si>
  <si>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</si>
  <si>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</si>
  <si>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</si>
  <si>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</si>
  <si>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</si>
  <si>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</si>
  <si>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</si>
  <si>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</si>
  <si>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</si>
  <si>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</si>
  <si>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</si>
  <si>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</si>
  <si>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</si>
  <si>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</si>
  <si>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</si>
  <si>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</si>
  <si>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</si>
  <si>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</si>
  <si>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</si>
  <si>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</si>
  <si>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</si>
  <si>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</si>
  <si>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</si>
  <si>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</si>
  <si>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</si>
  <si>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</si>
  <si>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</si>
  <si>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</si>
  <si>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</si>
  <si>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</si>
  <si>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</si>
  <si>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</si>
  <si>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</si>
  <si>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</si>
  <si>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</si>
  <si>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</si>
  <si>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</si>
  <si>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</si>
  <si>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</si>
  <si>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</si>
  <si>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</si>
  <si>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</si>
  <si>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</si>
  <si>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</si>
  <si>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</si>
  <si>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</si>
  <si>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</si>
  <si>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</si>
  <si>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</si>
  <si>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</si>
  <si>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</si>
  <si>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</si>
  <si>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</si>
  <si>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</si>
  <si>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</si>
  <si>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</si>
  <si>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</si>
  <si>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</si>
  <si>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</si>
  <si>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</si>
  <si>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</si>
  <si>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</si>
  <si>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</si>
  <si>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</si>
  <si>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</si>
  <si>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</si>
  <si>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</si>
  <si>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</si>
  <si>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</si>
  <si>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</si>
  <si>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</si>
  <si>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</si>
  <si>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</si>
  <si>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</si>
  <si>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</si>
  <si>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</si>
  <si>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</si>
  <si>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</si>
  <si>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</si>
  <si>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</si>
  <si>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</si>
  <si>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</si>
  <si>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</si>
  <si>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</si>
  <si>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</si>
  <si>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</si>
  <si>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</si>
  <si>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</si>
  <si>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</si>
  <si>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</si>
  <si>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</si>
  <si>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</si>
  <si>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</si>
  <si>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</si>
  <si>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</si>
  <si>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</si>
  <si>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</si>
  <si>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</si>
  <si>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</si>
  <si>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</si>
  <si>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</si>
  <si>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</si>
  <si>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</si>
  <si>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</si>
  <si>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</si>
  <si>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</si>
  <si>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</si>
  <si>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</si>
  <si>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</si>
  <si>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</si>
  <si>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</si>
  <si>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</si>
  <si>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</si>
  <si>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</si>
  <si>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</si>
  <si>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</si>
  <si>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</si>
  <si>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</si>
  <si>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</si>
  <si>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</si>
  <si>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</si>
  <si>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</si>
  <si>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</si>
  <si>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</si>
  <si>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</si>
  <si>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</si>
  <si>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</si>
  <si>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</si>
  <si>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</si>
  <si>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</si>
  <si>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</si>
  <si>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</si>
  <si>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</si>
  <si>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</si>
  <si>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</si>
  <si>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</si>
  <si>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</si>
  <si>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</si>
  <si>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</si>
  <si>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</si>
  <si>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</si>
  <si>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</si>
  <si>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</si>
  <si>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</si>
  <si>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</si>
  <si>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</si>
  <si>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</si>
  <si>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</si>
  <si>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</si>
  <si>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</si>
  <si>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</si>
  <si>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</si>
  <si>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</si>
  <si>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</si>
  <si>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</si>
  <si>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</si>
  <si>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</si>
  <si>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</si>
  <si>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</si>
  <si>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</si>
  <si>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</si>
  <si>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</si>
  <si>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</si>
  <si>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</si>
  <si>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</si>
  <si>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</si>
  <si>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</si>
  <si>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</si>
  <si>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</si>
  <si>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</si>
  <si>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</si>
  <si>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</si>
  <si>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</si>
  <si>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</si>
  <si>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</si>
  <si>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</si>
  <si>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</si>
  <si>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</si>
  <si>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</si>
  <si>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</si>
  <si>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</si>
  <si>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</si>
  <si>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</si>
  <si>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</si>
  <si>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</si>
  <si>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</si>
  <si>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</si>
  <si>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</si>
  <si>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</si>
  <si>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</si>
  <si>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</si>
  <si>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</si>
  <si>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</si>
  <si>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</si>
  <si>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</si>
  <si>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</si>
  <si>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</si>
  <si>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</si>
  <si>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</si>
  <si>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</si>
  <si>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</si>
  <si>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</si>
  <si>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</si>
  <si>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</si>
  <si>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</si>
  <si>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</si>
  <si>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</si>
  <si>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</si>
  <si>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</si>
  <si>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</si>
  <si>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</si>
  <si>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</si>
  <si>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</si>
  <si>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</si>
  <si>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</si>
  <si>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</si>
  <si>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</si>
  <si>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</si>
  <si>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</si>
  <si>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</si>
  <si>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</si>
  <si>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</si>
  <si>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</si>
  <si>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</si>
  <si>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</si>
  <si>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</si>
  <si>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</si>
  <si>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</si>
  <si>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</si>
  <si>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</si>
  <si>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</si>
  <si>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</si>
  <si>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</si>
  <si>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</si>
  <si>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</si>
  <si>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</si>
  <si>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</si>
  <si>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</si>
  <si>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</si>
  <si>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</si>
  <si>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</si>
  <si>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</si>
  <si>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</si>
  <si>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</si>
  <si>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</si>
  <si>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</si>
  <si>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</si>
  <si>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</si>
  <si>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</si>
  <si>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</si>
  <si>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</si>
  <si>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</si>
  <si>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</si>
  <si>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</si>
  <si>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</si>
  <si>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</si>
  <si>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</si>
  <si>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</si>
  <si>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</si>
  <si>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</si>
  <si>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</si>
  <si>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</si>
  <si>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</si>
  <si>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</si>
  <si>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</si>
  <si>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</si>
  <si>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</si>
  <si>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</si>
  <si>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</si>
  <si>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</si>
  <si>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</si>
  <si>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</si>
  <si>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</si>
  <si>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</si>
  <si>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</si>
  <si>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</si>
  <si>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</si>
  <si>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</si>
  <si>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</si>
  <si>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</si>
  <si>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</si>
  <si>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</si>
  <si>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</si>
  <si>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</si>
  <si>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</si>
  <si>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</si>
  <si>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</si>
  <si>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</si>
  <si>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</si>
  <si>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</si>
  <si>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</si>
  <si>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</si>
  <si>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</si>
  <si>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</si>
  <si>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</si>
  <si>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</si>
  <si>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</si>
  <si>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</si>
  <si>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</si>
  <si>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</si>
  <si>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</si>
  <si>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</si>
  <si>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</si>
  <si>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</si>
  <si>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</si>
  <si>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</si>
  <si>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</si>
  <si>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</si>
  <si>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</si>
  <si>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</si>
  <si>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</si>
  <si>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</si>
  <si>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</si>
  <si>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</si>
  <si>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</si>
  <si>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</si>
  <si>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</si>
  <si>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</si>
  <si>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</si>
  <si>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</si>
  <si>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</si>
  <si>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</si>
  <si>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</si>
  <si>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</si>
  <si>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</si>
  <si>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</si>
  <si>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</si>
  <si>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</si>
  <si>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</si>
  <si>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</si>
  <si>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</si>
  <si>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</si>
  <si>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</si>
  <si>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</si>
  <si>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</si>
  <si>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</si>
  <si>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</si>
  <si>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</si>
  <si>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</si>
  <si>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</si>
  <si>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</si>
  <si>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</si>
  <si>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</si>
  <si>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</si>
  <si>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</si>
  <si>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</si>
  <si>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</si>
  <si>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</si>
  <si>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</si>
  <si>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</si>
  <si>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</si>
  <si>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</si>
  <si>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</si>
  <si>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</si>
  <si>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</si>
  <si>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</si>
  <si>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</si>
  <si>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</si>
  <si>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</si>
  <si>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</si>
  <si>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</si>
  <si>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</si>
  <si>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</si>
  <si>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</si>
  <si>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</si>
  <si>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</si>
  <si>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</si>
  <si>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</si>
  <si>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</si>
  <si>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</si>
  <si>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</si>
  <si>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</si>
  <si>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</si>
  <si>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</si>
  <si>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</si>
  <si>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</si>
  <si>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</si>
  <si>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</si>
  <si>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</si>
  <si>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</si>
  <si>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</si>
  <si>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</si>
  <si>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</si>
  <si>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</si>
  <si>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</si>
  <si>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</si>
  <si>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</si>
  <si>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</si>
  <si>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</si>
  <si>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</si>
  <si>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</si>
  <si>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</si>
  <si>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</si>
  <si>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</si>
  <si>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</si>
  <si>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</si>
  <si>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</si>
  <si>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</si>
  <si>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</si>
  <si>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</si>
  <si>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</si>
  <si>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</si>
  <si>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</si>
  <si>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</si>
  <si>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</si>
  <si>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</si>
  <si>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</si>
  <si>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</si>
  <si>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</si>
  <si>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</si>
  <si>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</si>
  <si>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</si>
  <si>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</si>
  <si>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</si>
  <si>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</si>
  <si>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</si>
  <si>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</si>
  <si>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</si>
  <si>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</si>
  <si>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</si>
  <si>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</si>
  <si>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</si>
  <si>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</si>
  <si>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</si>
  <si>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</si>
  <si>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</si>
  <si>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</si>
  <si>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</si>
  <si>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</si>
  <si>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</si>
  <si>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</si>
  <si>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</si>
  <si>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</si>
  <si>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</si>
  <si>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</si>
  <si>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</si>
  <si>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</si>
  <si>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</si>
  <si>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</si>
  <si>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</si>
  <si>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</si>
  <si>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</si>
  <si>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</si>
  <si>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</si>
  <si>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</si>
  <si>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</si>
  <si>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</si>
  <si>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</si>
  <si>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</si>
  <si>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</si>
  <si>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</si>
  <si>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</si>
  <si>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</si>
  <si>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</si>
  <si>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</si>
  <si>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</si>
  <si>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</si>
  <si>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</si>
  <si>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</si>
  <si>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</si>
  <si>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</si>
  <si>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</si>
  <si>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</si>
  <si>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</si>
  <si>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</si>
  <si>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</si>
  <si>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</si>
  <si>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</si>
  <si>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</si>
  <si>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</si>
  <si>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</si>
  <si>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</si>
  <si>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</si>
  <si>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</si>
  <si>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</si>
  <si>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</si>
  <si>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</si>
  <si>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</si>
  <si>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</si>
  <si>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</si>
  <si>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</si>
  <si>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</si>
  <si>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</si>
  <si>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</si>
  <si>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</si>
  <si>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</si>
  <si>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</si>
  <si>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</si>
  <si>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</si>
  <si>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</si>
  <si>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</si>
  <si>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</si>
  <si>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</si>
  <si>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</si>
  <si>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</si>
  <si>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</si>
  <si>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</si>
  <si>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</si>
  <si>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</si>
  <si>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</si>
  <si>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</si>
  <si>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</si>
  <si>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</si>
  <si>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</si>
  <si>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</si>
  <si>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</si>
  <si>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</si>
  <si>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</si>
  <si>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</si>
  <si>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</si>
  <si>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</si>
  <si>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</si>
  <si>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</si>
  <si>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</si>
  <si>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</si>
  <si>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</si>
  <si>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</si>
  <si>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</si>
  <si>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</si>
  <si>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</si>
  <si>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</si>
  <si>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</si>
  <si>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</si>
  <si>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</si>
  <si>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</si>
  <si>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</si>
  <si>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</si>
  <si>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</si>
  <si>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</si>
  <si>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</si>
  <si>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</si>
  <si>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</si>
  <si>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</si>
  <si>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</si>
  <si>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</si>
  <si>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</si>
  <si>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</si>
  <si>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</si>
  <si>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</si>
  <si>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</si>
  <si>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</si>
  <si>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</si>
  <si>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</si>
  <si>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</si>
  <si>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</si>
  <si>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</si>
  <si>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</si>
  <si>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</si>
  <si>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</si>
  <si>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</si>
  <si>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</si>
  <si>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</si>
  <si>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</si>
  <si>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</si>
  <si>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</si>
  <si>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</si>
  <si>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</si>
  <si>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</si>
  <si>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</si>
  <si>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</si>
  <si>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</si>
  <si>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</si>
  <si>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</si>
  <si>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</si>
  <si>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</si>
  <si>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</si>
  <si>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</si>
  <si>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</si>
  <si>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</si>
  <si>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</si>
  <si>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</si>
  <si>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</si>
  <si>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</si>
  <si>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</si>
  <si>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</si>
  <si>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</si>
  <si>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</si>
  <si>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</si>
  <si>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</si>
  <si>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</si>
  <si>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</si>
  <si>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</si>
  <si>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</si>
  <si>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</si>
  <si>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</si>
  <si>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</si>
  <si>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</si>
  <si>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</si>
  <si>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</si>
  <si>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</si>
  <si>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</si>
  <si>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</si>
  <si>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</si>
  <si>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</si>
  <si>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</si>
  <si>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</si>
  <si>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</si>
  <si>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</si>
  <si>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</si>
  <si>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</si>
  <si>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</si>
  <si>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</si>
  <si>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</si>
  <si>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</si>
  <si>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</si>
  <si>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</si>
  <si>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</si>
  <si>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</si>
  <si>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</si>
  <si>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</si>
  <si>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</si>
  <si>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</si>
  <si>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</si>
  <si>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</si>
  <si>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</si>
  <si>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</si>
  <si>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</si>
  <si>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</si>
  <si>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</si>
  <si>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</si>
  <si>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</si>
  <si>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</si>
  <si>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</si>
  <si>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</si>
  <si>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</si>
  <si>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</si>
  <si>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</si>
  <si>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</si>
  <si>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</si>
  <si>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</si>
  <si>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</si>
  <si>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</si>
  <si>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</si>
  <si>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</si>
  <si>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</si>
  <si>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</si>
  <si>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</si>
  <si>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</si>
  <si>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</si>
  <si>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</si>
  <si>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</si>
  <si>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</si>
  <si>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</si>
  <si>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</si>
  <si>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</si>
  <si>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</si>
  <si>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</si>
  <si>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</si>
  <si>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</si>
  <si>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</si>
  <si>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</si>
  <si>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</si>
  <si>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</si>
  <si>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</si>
  <si>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</si>
  <si>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</si>
  <si>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</si>
  <si>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</si>
  <si>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</si>
  <si>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</si>
  <si>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</si>
  <si>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</si>
  <si>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</si>
  <si>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</si>
  <si>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</si>
  <si>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</si>
  <si>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</si>
  <si>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</si>
  <si>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</si>
  <si>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</si>
  <si>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</si>
  <si>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</si>
  <si>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</si>
  <si>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</si>
  <si>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</si>
  <si>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</si>
  <si>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</si>
  <si>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</si>
  <si>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</si>
  <si>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</si>
  <si>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</si>
  <si>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</si>
  <si>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</si>
  <si>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</si>
  <si>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</si>
  <si>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</si>
  <si>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</si>
  <si>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</si>
  <si>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</si>
  <si>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</si>
  <si>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</si>
  <si>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</si>
  <si>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</si>
  <si>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</si>
  <si>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</si>
  <si>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</si>
  <si>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</si>
  <si>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</si>
  <si>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</si>
  <si>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</si>
  <si>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</si>
  <si>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</si>
  <si>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</si>
  <si>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</si>
  <si>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</si>
  <si>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</si>
  <si>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</si>
  <si>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</si>
  <si>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</si>
  <si>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</si>
  <si>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</si>
  <si>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</si>
  <si>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</si>
  <si>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</si>
  <si>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</si>
  <si>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</si>
  <si>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</si>
  <si>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</si>
  <si>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</si>
  <si>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</si>
  <si>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</si>
  <si>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</si>
  <si>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</si>
  <si>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</si>
  <si>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</si>
  <si>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</si>
  <si>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</si>
  <si>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</si>
  <si>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</si>
  <si>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</si>
  <si>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</si>
  <si>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</si>
  <si>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</si>
  <si>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</si>
  <si>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</si>
  <si>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</si>
  <si>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</si>
  <si>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</si>
  <si>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</si>
  <si>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</si>
  <si>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</si>
  <si>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</si>
  <si>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</si>
  <si>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</si>
  <si>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</si>
  <si>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</si>
  <si>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</si>
  <si>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</si>
  <si>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</si>
  <si>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</si>
  <si>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</si>
  <si>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</si>
  <si>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</si>
  <si>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</si>
  <si>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</si>
  <si>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</si>
  <si>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</si>
  <si>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</si>
  <si>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</si>
  <si>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</si>
  <si>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</si>
  <si>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</si>
  <si>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</si>
  <si>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</si>
  <si>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</si>
  <si>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</si>
  <si>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</si>
  <si>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</si>
  <si>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</si>
  <si>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</si>
  <si>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</si>
  <si>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</si>
  <si>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</si>
  <si>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</si>
  <si>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</si>
  <si>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</si>
  <si>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</si>
  <si>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</si>
  <si>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</si>
  <si>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</si>
  <si>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</si>
  <si>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</si>
  <si>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</si>
  <si>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</si>
  <si>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</si>
  <si>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</si>
  <si>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</si>
  <si>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</si>
  <si>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</si>
  <si>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</si>
  <si>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</si>
  <si>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</si>
  <si>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</si>
  <si>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</si>
  <si>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</si>
  <si>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</si>
  <si>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</si>
  <si>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</si>
  <si>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</si>
  <si>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</si>
  <si>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</si>
  <si>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</si>
  <si>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</si>
  <si>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</si>
  <si>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</si>
  <si>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</si>
  <si>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</si>
  <si>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</si>
  <si>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</si>
  <si>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</si>
  <si>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</si>
  <si>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</si>
  <si>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</si>
  <si>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</si>
  <si>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</si>
  <si>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</si>
  <si>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</si>
  <si>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</si>
  <si>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</si>
  <si>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</si>
  <si>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</si>
  <si>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</si>
  <si>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</si>
  <si>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</si>
  <si>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</si>
  <si>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</si>
  <si>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</si>
  <si>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</si>
  <si>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</si>
  <si>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</si>
  <si>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</si>
  <si>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</si>
  <si>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</si>
  <si>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</si>
  <si>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</si>
  <si>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</si>
  <si>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</si>
  <si>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</si>
  <si>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</si>
  <si>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</si>
  <si>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</si>
  <si>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</si>
  <si>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</si>
  <si>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</si>
  <si>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</si>
  <si>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</si>
  <si>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</si>
  <si>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</si>
  <si>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</si>
  <si>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</si>
  <si>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</si>
  <si>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</si>
  <si>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</si>
  <si>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</si>
  <si>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</si>
  <si>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</si>
  <si>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</si>
  <si>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</si>
  <si>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</si>
  <si>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</si>
  <si>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</si>
  <si>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</si>
  <si>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</si>
  <si>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</si>
  <si>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</si>
  <si>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</si>
  <si>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</si>
  <si>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</si>
  <si>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</si>
  <si>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</si>
  <si>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</si>
  <si>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</si>
  <si>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</si>
  <si>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</si>
  <si>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</si>
  <si>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</si>
  <si>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</si>
  <si>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</si>
  <si>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</si>
  <si>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</si>
  <si>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</si>
  <si>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</si>
  <si>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</si>
  <si>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</si>
  <si>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</si>
  <si>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</si>
  <si>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</si>
  <si>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</si>
  <si>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</si>
  <si>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</si>
  <si>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</si>
  <si>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</si>
  <si>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</si>
  <si>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</si>
  <si>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</si>
  <si>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</si>
  <si>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</si>
  <si>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</si>
  <si>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</si>
  <si>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</si>
  <si>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</si>
  <si>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</si>
  <si>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</si>
  <si>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</si>
  <si>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</si>
  <si>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</si>
  <si>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</si>
  <si>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</si>
  <si>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</si>
  <si>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</si>
  <si>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</si>
  <si>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</si>
  <si>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</si>
  <si>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</si>
  <si>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</si>
  <si>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</si>
  <si>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</si>
  <si>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</si>
  <si>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</si>
  <si>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</si>
  <si>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</si>
  <si>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</si>
  <si>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</si>
  <si>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</si>
  <si>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</si>
  <si>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</si>
  <si>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</si>
  <si>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</si>
  <si>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</si>
  <si>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</si>
  <si>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</si>
  <si>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</si>
  <si>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</si>
  <si>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</si>
  <si>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</si>
  <si>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</si>
  <si>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</si>
  <si>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</si>
  <si>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</si>
  <si>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</si>
  <si>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</si>
  <si>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</si>
  <si>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</si>
  <si>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</si>
  <si>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</si>
  <si>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</si>
  <si>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</si>
  <si>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</si>
  <si>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</si>
  <si>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</si>
  <si>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</si>
  <si>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</si>
  <si>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</si>
  <si>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</si>
  <si>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</si>
  <si>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</si>
  <si>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</si>
  <si>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</si>
  <si>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</si>
  <si>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</si>
  <si>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</si>
  <si>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</si>
  <si>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</si>
  <si>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</si>
  <si>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</si>
  <si>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</si>
  <si>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</si>
  <si>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</si>
  <si>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</si>
  <si>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</si>
  <si>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</si>
  <si>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</si>
  <si>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</si>
  <si>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</si>
  <si>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</si>
  <si>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</si>
  <si>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</si>
  <si>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</si>
  <si>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</si>
  <si>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</si>
  <si>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</si>
  <si>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</si>
  <si>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</si>
  <si>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</si>
  <si>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</si>
  <si>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</si>
  <si>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</si>
  <si>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</si>
  <si>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</si>
  <si>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</si>
  <si>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</si>
  <si>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</si>
  <si>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</si>
  <si>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</si>
  <si>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</si>
  <si>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</si>
  <si>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</si>
  <si>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</si>
  <si>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</si>
  <si>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</si>
  <si>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</si>
  <si>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</si>
  <si>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</si>
  <si>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</si>
  <si>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</si>
  <si>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</si>
  <si>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</si>
  <si>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</si>
  <si>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</si>
  <si>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</si>
  <si>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</si>
  <si>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</si>
  <si>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</si>
  <si>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</si>
  <si>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</si>
  <si>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</si>
  <si>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</si>
  <si>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</si>
  <si>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</si>
  <si>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</si>
  <si>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</si>
  <si>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</si>
  <si>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</si>
  <si>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</si>
  <si>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</si>
  <si>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</si>
  <si>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</si>
  <si>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</si>
  <si>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</si>
  <si>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</si>
  <si>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</si>
  <si>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</si>
  <si>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</si>
  <si>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</si>
  <si>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</si>
  <si>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</si>
  <si>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</si>
  <si>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</si>
  <si>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</si>
  <si>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</si>
  <si>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</si>
  <si>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</si>
  <si>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</si>
  <si>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</si>
  <si>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</si>
  <si>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</si>
  <si>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</si>
  <si>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</si>
  <si>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</si>
  <si>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</si>
  <si>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</si>
  <si>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</si>
  <si>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</si>
  <si>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</si>
  <si>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</si>
  <si>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</si>
  <si>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</si>
  <si>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</si>
  <si>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</si>
  <si>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</si>
  <si>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</si>
  <si>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</si>
  <si>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</si>
  <si>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</si>
  <si>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</si>
  <si>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</si>
  <si>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</si>
  <si>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</si>
  <si>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</si>
  <si>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</si>
  <si>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</si>
  <si>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</si>
  <si>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</si>
  <si>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</si>
  <si>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</si>
  <si>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</si>
  <si>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</si>
  <si>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</si>
  <si>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</si>
  <si>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</si>
  <si>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</si>
  <si>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</si>
  <si>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</si>
  <si>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</si>
  <si>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</si>
  <si>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</si>
  <si>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</si>
  <si>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</si>
  <si>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</si>
  <si>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</si>
  <si>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</si>
  <si>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</si>
  <si>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</si>
  <si>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</si>
  <si>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</si>
  <si>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</si>
  <si>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</si>
  <si>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</si>
  <si>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</si>
  <si>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</si>
  <si>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</si>
  <si>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</si>
  <si>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</si>
  <si>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</si>
  <si>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</si>
  <si>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</si>
  <si>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</si>
  <si>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</si>
  <si>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</si>
  <si>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</si>
  <si>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</si>
  <si>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</si>
  <si>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</si>
  <si>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</si>
  <si>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</si>
  <si>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</si>
  <si>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</si>
  <si>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</si>
  <si>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</si>
  <si>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</si>
  <si>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</si>
  <si>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</si>
  <si>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</si>
  <si>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</si>
  <si>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</si>
  <si>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</si>
  <si>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</si>
  <si>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</si>
  <si>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</si>
  <si>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</si>
  <si>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</si>
  <si>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</si>
  <si>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</si>
  <si>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</si>
  <si>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</si>
  <si>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</si>
  <si>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</si>
  <si>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</si>
  <si>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</si>
  <si>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</si>
  <si>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</si>
  <si>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</si>
  <si>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</si>
  <si>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</si>
  <si>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</si>
  <si>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</si>
  <si>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</si>
  <si>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</si>
  <si>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</si>
  <si>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</si>
  <si>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</si>
  <si>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</si>
  <si>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</si>
  <si>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</si>
  <si>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</si>
  <si>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</si>
  <si>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</si>
  <si>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</si>
  <si>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</si>
  <si>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</si>
  <si>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</si>
  <si>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</si>
  <si>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</si>
  <si>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</si>
  <si>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</si>
  <si>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</si>
  <si>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</si>
  <si>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</si>
  <si>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</si>
  <si>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</si>
  <si>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</si>
  <si>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</si>
  <si>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</si>
  <si>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</si>
  <si>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</si>
  <si>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</si>
  <si>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</si>
  <si>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</si>
  <si>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</si>
  <si>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</si>
  <si>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</si>
  <si>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</si>
  <si>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</si>
  <si>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</si>
  <si>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</si>
  <si>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</si>
  <si>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</si>
  <si>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</si>
  <si>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</si>
  <si>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</si>
  <si>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</si>
  <si>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</si>
  <si>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</si>
  <si>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FAMILIA EN EL MUNICIPIO DE LEÓN, GTO</t>
  </si>
  <si>
    <t>Al 31 de diciembre de 2018 y al 30 de marzo de 2019 (b)</t>
  </si>
  <si>
    <t>Del 1 de enero al 30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</si>
</sst>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3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A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1" t="s">
        <v>829</v>
      </c>
      <c r="B1" s="152"/>
      <c r="C1" s="152"/>
      <c r="D1" s="152"/>
      <c r="E1" s="153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4" t="s">
        <v>3302</v>
      </c>
      <c r="D3" s="154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landscape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abSelected="1" workbookViewId="0">
      <selection activeCell="A3" sqref="C3:D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7" t="s">
        <v>542</v>
      </c>
      <c r="B1" s="167"/>
      <c r="C1" s="167"/>
      <c r="D1" s="167"/>
      <c r="E1" s="111"/>
      <c r="F1" s="111"/>
      <c r="G1" s="111"/>
      <c r="H1" s="111"/>
      <c r="I1" s="111"/>
      <c r="J1" s="111"/>
      <c r="K1" s="111"/>
    </row>
    <row r="2" spans="1:11" x14ac:dyDescent="0.25">
      <c r="A2" s="155" t="str">
        <f>ENTE_PUBLICO_A</f>
        <v>SISTEMA PARA EL DESARROLLO INTEGRAL DE FAMILIA EN EL MUNICIPIO DE LEÓN, GTO, Gobierno del Estado de Guanajuato (a)</v>
      </c>
      <c r="B2" s="156"/>
      <c r="C2" s="156"/>
      <c r="D2" s="157"/>
    </row>
    <row r="3" spans="1:11" x14ac:dyDescent="0.25">
      <c r="A3" s="158" t="s">
        <v>166</v>
      </c>
      <c r="B3" s="159"/>
      <c r="C3" s="159"/>
      <c r="D3" s="160"/>
    </row>
    <row r="4" spans="1:11" x14ac:dyDescent="0.25">
      <c r="A4" s="161" t="str">
        <f>TRIMESTRE</f>
        <v>Del 1 de enero al 30 de marzo de 2019 (b)</v>
      </c>
      <c r="B4" s="162"/>
      <c r="C4" s="162"/>
      <c r="D4" s="163"/>
    </row>
    <row r="5" spans="1:11" x14ac:dyDescent="0.25">
      <c r="A5" s="164" t="s">
        <v>118</v>
      </c>
      <c r="B5" s="165"/>
      <c r="C5" s="165"/>
      <c r="D5" s="166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129403049.36</v>
      </c>
      <c r="C8" s="40">
        <f t="shared" ref="C8:D8" si="0">SUM(C9:C11)</f>
        <v>41202237.140000001</v>
      </c>
      <c r="D8" s="40">
        <f t="shared" si="0"/>
        <v>31607234.23</v>
      </c>
    </row>
    <row r="9" spans="1:11" x14ac:dyDescent="0.25">
      <c r="A9" s="53" t="s">
        <v>169</v>
      </c>
      <c r="B9" s="23">
        <v>129403049.36</v>
      </c>
      <c r="C9" s="23">
        <f>42790818.67-1588581.53</f>
        <v>41202237.140000001</v>
      </c>
      <c r="D9" s="23">
        <f>33195815.76-1588581.53</f>
        <v>31607234.23</v>
      </c>
    </row>
    <row r="10" spans="1:11" x14ac:dyDescent="0.25">
      <c r="A10" s="53" t="s">
        <v>170</v>
      </c>
      <c r="B10" s="23"/>
      <c r="C10" s="23"/>
      <c r="D10" s="23"/>
    </row>
    <row r="11" spans="1:11" x14ac:dyDescent="0.25">
      <c r="A11" s="53" t="s">
        <v>171</v>
      </c>
      <c r="B11" s="23"/>
      <c r="C11" s="23"/>
      <c r="D11" s="23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129403049.36</v>
      </c>
      <c r="C13" s="40">
        <f t="shared" ref="C13:D13" si="1">C14+C15</f>
        <v>30136094.309999999</v>
      </c>
      <c r="D13" s="40">
        <f t="shared" si="1"/>
        <v>30073583.050000001</v>
      </c>
    </row>
    <row r="14" spans="1:11" x14ac:dyDescent="0.25">
      <c r="A14" s="53" t="s">
        <v>172</v>
      </c>
      <c r="B14" s="23">
        <v>129403049.36</v>
      </c>
      <c r="C14" s="23">
        <v>30136094.309999999</v>
      </c>
      <c r="D14" s="23">
        <v>30073583.050000001</v>
      </c>
    </row>
    <row r="15" spans="1:11" x14ac:dyDescent="0.25">
      <c r="A15" s="53" t="s">
        <v>173</v>
      </c>
      <c r="B15" s="23"/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1588581.33</v>
      </c>
      <c r="D17" s="40">
        <f>D18+D19</f>
        <v>1588581.33</v>
      </c>
    </row>
    <row r="18" spans="1:4" x14ac:dyDescent="0.25">
      <c r="A18" s="53" t="s">
        <v>175</v>
      </c>
      <c r="B18" s="119">
        <v>0</v>
      </c>
      <c r="C18" s="23">
        <v>1588581.33</v>
      </c>
      <c r="D18" s="23">
        <v>1588581.33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12654724.160000002</v>
      </c>
      <c r="D21" s="40">
        <f t="shared" si="3"/>
        <v>3122232.51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12654724.160000002</v>
      </c>
      <c r="D23" s="40">
        <f t="shared" si="4"/>
        <v>3122232.51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11066142.830000002</v>
      </c>
      <c r="D25" s="40">
        <f>D23-D17</f>
        <v>1533651.1799999997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11066142.830000002</v>
      </c>
      <c r="D33" s="61">
        <f t="shared" si="7"/>
        <v>1533651.1799999997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129403049.36</v>
      </c>
      <c r="C48" s="124">
        <f>C9</f>
        <v>41202237.140000001</v>
      </c>
      <c r="D48" s="124">
        <f t="shared" ref="D48" si="11">D9</f>
        <v>31607234.23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129403049.36</v>
      </c>
      <c r="C53" s="60">
        <f t="shared" ref="C53:D53" si="13">C14</f>
        <v>30136094.309999999</v>
      </c>
      <c r="D53" s="60">
        <f t="shared" si="13"/>
        <v>30073583.050000001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1588581.33</v>
      </c>
      <c r="D55" s="60">
        <f t="shared" si="14"/>
        <v>1588581.33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12654724.160000002</v>
      </c>
      <c r="D57" s="61">
        <f t="shared" ref="D57" si="15">D48+D49-D53+D55</f>
        <v>3122232.51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12654724.160000002</v>
      </c>
      <c r="D59" s="61">
        <f t="shared" si="16"/>
        <v>3122232.51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129403049.36</v>
      </c>
      <c r="Q2" s="18">
        <f>'Formato 4'!C8</f>
        <v>41202237.140000001</v>
      </c>
      <c r="R2" s="18">
        <f>'Formato 4'!D8</f>
        <v>31607234.23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129403049.36</v>
      </c>
      <c r="Q3" s="18">
        <f>'Formato 4'!C9</f>
        <v>41202237.140000001</v>
      </c>
      <c r="R3" s="18">
        <f>'Formato 4'!D9</f>
        <v>31607234.23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129403049.36</v>
      </c>
      <c r="Q6" s="18">
        <f>'Formato 4'!C13</f>
        <v>30136094.309999999</v>
      </c>
      <c r="R6" s="18">
        <f>'Formato 4'!D13</f>
        <v>30073583.050000001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129403049.36</v>
      </c>
      <c r="Q7" s="18">
        <f>'Formato 4'!C14</f>
        <v>30136094.309999999</v>
      </c>
      <c r="R7" s="18">
        <f>'Formato 4'!D14</f>
        <v>30073583.050000001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1588581.33</v>
      </c>
      <c r="R9" s="18">
        <f>'Formato 4'!D17</f>
        <v>1588581.33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1588581.33</v>
      </c>
      <c r="R10" s="18">
        <f>'Formato 4'!D18</f>
        <v>1588581.33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12654724.160000002</v>
      </c>
      <c r="R12" s="18">
        <f>'Formato 4'!D21</f>
        <v>3122232.51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12654724.160000002</v>
      </c>
      <c r="R13" s="18">
        <f>'Formato 4'!D23</f>
        <v>3122232.51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11066142.830000002</v>
      </c>
      <c r="R14" s="18">
        <f>'Formato 4'!D25</f>
        <v>1533651.1799999997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11066142.830000002</v>
      </c>
      <c r="R18">
        <f>'Formato 4'!D33</f>
        <v>1533651.1799999997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129403049.36</v>
      </c>
      <c r="Q26">
        <f>'Formato 4'!C48</f>
        <v>41202237.140000001</v>
      </c>
      <c r="R26">
        <f>'Formato 4'!D48</f>
        <v>31607234.23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129403049.36</v>
      </c>
      <c r="Q30">
        <f>'Formato 4'!C53</f>
        <v>30136094.309999999</v>
      </c>
      <c r="R30">
        <f>'Formato 4'!D53</f>
        <v>30073583.050000001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1588581.33</v>
      </c>
      <c r="R31">
        <f>'Formato 4'!D55</f>
        <v>1588581.33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tabSelected="1" zoomScale="85" zoomScaleNormal="85" workbookViewId="0">
      <selection activeCell="A3" sqref="C3:D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3" t="s">
        <v>206</v>
      </c>
      <c r="B1" s="173"/>
      <c r="C1" s="173"/>
      <c r="D1" s="173"/>
      <c r="E1" s="173"/>
      <c r="F1" s="173"/>
      <c r="G1" s="173"/>
    </row>
    <row r="2" spans="1:8" x14ac:dyDescent="0.25">
      <c r="A2" s="155" t="str">
        <f>ENTE_PUBLICO_A</f>
        <v>SISTEMA PARA EL DESARROLLO INTEGRAL DE FAMILIA EN EL MUNICIPIO DE LEÓN, GTO, Gobierno del Estado de Guanajuato (a)</v>
      </c>
      <c r="B2" s="156"/>
      <c r="C2" s="156"/>
      <c r="D2" s="156"/>
      <c r="E2" s="156"/>
      <c r="F2" s="156"/>
      <c r="G2" s="157"/>
    </row>
    <row r="3" spans="1:8" x14ac:dyDescent="0.25">
      <c r="A3" s="158" t="s">
        <v>207</v>
      </c>
      <c r="B3" s="159"/>
      <c r="C3" s="159"/>
      <c r="D3" s="159"/>
      <c r="E3" s="159"/>
      <c r="F3" s="159"/>
      <c r="G3" s="160"/>
    </row>
    <row r="4" spans="1:8" x14ac:dyDescent="0.25">
      <c r="A4" s="161" t="str">
        <f>TRIMESTRE</f>
        <v>Del 1 de enero al 30 de marzo de 2019 (b)</v>
      </c>
      <c r="B4" s="162"/>
      <c r="C4" s="162"/>
      <c r="D4" s="162"/>
      <c r="E4" s="162"/>
      <c r="F4" s="162"/>
      <c r="G4" s="163"/>
    </row>
    <row r="5" spans="1:8" x14ac:dyDescent="0.25">
      <c r="A5" s="164" t="s">
        <v>118</v>
      </c>
      <c r="B5" s="165"/>
      <c r="C5" s="165"/>
      <c r="D5" s="165"/>
      <c r="E5" s="165"/>
      <c r="F5" s="165"/>
      <c r="G5" s="166"/>
    </row>
    <row r="6" spans="1:8" x14ac:dyDescent="0.25">
      <c r="A6" s="170" t="s">
        <v>214</v>
      </c>
      <c r="B6" s="172" t="s">
        <v>208</v>
      </c>
      <c r="C6" s="172"/>
      <c r="D6" s="172"/>
      <c r="E6" s="172"/>
      <c r="F6" s="172"/>
      <c r="G6" s="172" t="s">
        <v>209</v>
      </c>
    </row>
    <row r="7" spans="1:8" ht="30" x14ac:dyDescent="0.25">
      <c r="A7" s="17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7041843.5099999998</v>
      </c>
      <c r="C12" s="60">
        <f>D12-B12</f>
        <v>0</v>
      </c>
      <c r="D12" s="60">
        <v>7041843.5099999998</v>
      </c>
      <c r="E12" s="60">
        <v>1456838</v>
      </c>
      <c r="F12" s="60">
        <v>1456838</v>
      </c>
      <c r="G12" s="60">
        <f t="shared" si="0"/>
        <v>-5585005.5099999998</v>
      </c>
    </row>
    <row r="13" spans="1:8" x14ac:dyDescent="0.25">
      <c r="A13" s="53" t="s">
        <v>220</v>
      </c>
      <c r="B13" s="60">
        <v>3945599.13</v>
      </c>
      <c r="C13" s="60">
        <f t="shared" ref="C13:C14" si="1">D13-B13</f>
        <v>0</v>
      </c>
      <c r="D13" s="60">
        <v>3945599.13</v>
      </c>
      <c r="E13" s="60">
        <v>1210661.3500000001</v>
      </c>
      <c r="F13" s="60">
        <v>1210661.3500000001</v>
      </c>
      <c r="G13" s="60">
        <f t="shared" si="0"/>
        <v>-2734937.78</v>
      </c>
    </row>
    <row r="14" spans="1:8" x14ac:dyDescent="0.25">
      <c r="A14" s="53" t="s">
        <v>221</v>
      </c>
      <c r="B14" s="60">
        <v>4618765.72</v>
      </c>
      <c r="C14" s="60">
        <f t="shared" si="1"/>
        <v>233433.40000000037</v>
      </c>
      <c r="D14" s="60">
        <v>4852199.12</v>
      </c>
      <c r="E14" s="60">
        <v>490528</v>
      </c>
      <c r="F14" s="60">
        <v>490528</v>
      </c>
      <c r="G14" s="60">
        <f t="shared" si="0"/>
        <v>-4128237.7199999997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111929.47</v>
      </c>
      <c r="F16" s="60">
        <f t="shared" si="2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111929.47</v>
      </c>
      <c r="F17" s="60">
        <v>0</v>
      </c>
      <c r="G17" s="60"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3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3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3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3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3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3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3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3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3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3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4">SUM(C29:C33)</f>
        <v>0</v>
      </c>
      <c r="D28" s="60">
        <f t="shared" si="4"/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5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5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5"/>
        <v>0</v>
      </c>
    </row>
    <row r="34" spans="1:8" x14ac:dyDescent="0.25">
      <c r="A34" s="53" t="s">
        <v>240</v>
      </c>
      <c r="B34" s="60">
        <v>113796841</v>
      </c>
      <c r="C34" s="60">
        <v>0</v>
      </c>
      <c r="D34" s="60">
        <v>113796841</v>
      </c>
      <c r="E34" s="60">
        <v>37932280.32</v>
      </c>
      <c r="F34" s="60">
        <v>28449210.240000002</v>
      </c>
      <c r="G34" s="60">
        <f t="shared" si="5"/>
        <v>-85347630.75999999</v>
      </c>
    </row>
    <row r="35" spans="1:8" x14ac:dyDescent="0.25">
      <c r="A35" s="53" t="s">
        <v>241</v>
      </c>
      <c r="B35" s="60">
        <f>B36</f>
        <v>0</v>
      </c>
      <c r="C35" s="60">
        <f t="shared" ref="C35:F35" si="6">C36</f>
        <v>0</v>
      </c>
      <c r="D35" s="60">
        <f t="shared" si="6"/>
        <v>0</v>
      </c>
      <c r="E35" s="60">
        <f t="shared" si="6"/>
        <v>0</v>
      </c>
      <c r="F35" s="60">
        <f t="shared" si="6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7">C38+C39</f>
        <v>1667512.3699999999</v>
      </c>
      <c r="D37" s="60">
        <f t="shared" si="7"/>
        <v>1667512.3699999999</v>
      </c>
      <c r="E37" s="60">
        <f t="shared" si="7"/>
        <v>1588581.53</v>
      </c>
      <c r="F37" s="60">
        <f t="shared" si="7"/>
        <v>1588581.53</v>
      </c>
      <c r="G37" s="60">
        <f t="shared" si="7"/>
        <v>1588581.53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1667512.3699999999</v>
      </c>
      <c r="D39" s="60">
        <v>1667512.3699999999</v>
      </c>
      <c r="E39" s="60">
        <v>1588581.53</v>
      </c>
      <c r="F39" s="60">
        <v>1588581.53</v>
      </c>
      <c r="G39" s="60">
        <f>F39-B39</f>
        <v>1588581.53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129403049.36</v>
      </c>
      <c r="C41" s="61">
        <f t="shared" ref="C41:D41" si="8">SUM(C9,C10,C11,C12,C13,C14,C15,C16,C28,C34,C35,C37)</f>
        <v>1900945.7700000003</v>
      </c>
      <c r="D41" s="61">
        <f t="shared" si="8"/>
        <v>131303995.13000001</v>
      </c>
      <c r="E41" s="61">
        <f>SUM(E9,E10,E11,E12,E13,E14,E15,E16,E28,E34,E35,E37)</f>
        <v>42790818.670000002</v>
      </c>
      <c r="F41" s="61">
        <f>SUM(F9,F10,F11,F12,F13,F14,F15,F16,F28,F34,F35,F37)</f>
        <v>33195819.120000005</v>
      </c>
      <c r="G41" s="61">
        <f>SUM(G9,G10,G11,G12,G13,G14,G15,G16,G28,G34,G35,G37)</f>
        <v>-96207230.23999998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9">SUM(C46:C53)</f>
        <v>0</v>
      </c>
      <c r="D45" s="60">
        <f t="shared" si="9"/>
        <v>0</v>
      </c>
      <c r="E45" s="60">
        <f t="shared" si="9"/>
        <v>0</v>
      </c>
      <c r="F45" s="60">
        <f t="shared" si="9"/>
        <v>0</v>
      </c>
      <c r="G45" s="60">
        <f t="shared" si="9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10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10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10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10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10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10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10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1">SUM(C55:C58)</f>
        <v>0</v>
      </c>
      <c r="D54" s="60">
        <f t="shared" si="11"/>
        <v>0</v>
      </c>
      <c r="E54" s="60">
        <f t="shared" si="11"/>
        <v>0</v>
      </c>
      <c r="F54" s="60">
        <f t="shared" si="11"/>
        <v>0</v>
      </c>
      <c r="G54" s="60">
        <f t="shared" si="11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2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2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2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3">SUM(C60:C61)</f>
        <v>0</v>
      </c>
      <c r="D59" s="60">
        <f t="shared" si="13"/>
        <v>0</v>
      </c>
      <c r="E59" s="60">
        <f t="shared" si="13"/>
        <v>0</v>
      </c>
      <c r="F59" s="60">
        <f t="shared" si="13"/>
        <v>0</v>
      </c>
      <c r="G59" s="60">
        <f t="shared" si="13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4">C45+C54+C59+C62+C63</f>
        <v>0</v>
      </c>
      <c r="D65" s="61">
        <f t="shared" si="14"/>
        <v>0</v>
      </c>
      <c r="E65" s="61">
        <f t="shared" si="14"/>
        <v>0</v>
      </c>
      <c r="F65" s="61">
        <f t="shared" si="14"/>
        <v>0</v>
      </c>
      <c r="G65" s="61">
        <f t="shared" si="14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5">C68</f>
        <v>0</v>
      </c>
      <c r="D67" s="61">
        <f t="shared" si="15"/>
        <v>0</v>
      </c>
      <c r="E67" s="61">
        <f t="shared" si="15"/>
        <v>0</v>
      </c>
      <c r="F67" s="61">
        <f t="shared" si="15"/>
        <v>0</v>
      </c>
      <c r="G67" s="61">
        <f t="shared" si="15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129403049.36</v>
      </c>
      <c r="C70" s="61">
        <f t="shared" ref="C70:G70" si="16">C41+C65+C67</f>
        <v>1900945.7700000003</v>
      </c>
      <c r="D70" s="61">
        <f t="shared" si="16"/>
        <v>131303995.13000001</v>
      </c>
      <c r="E70" s="61">
        <f t="shared" si="16"/>
        <v>42790818.670000002</v>
      </c>
      <c r="F70" s="61">
        <f t="shared" si="16"/>
        <v>33195819.120000005</v>
      </c>
      <c r="G70" s="61">
        <f t="shared" si="16"/>
        <v>-96207230.23999998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1">
        <f>B44+B68+B70</f>
        <v>129403049.36</v>
      </c>
      <c r="C73" s="61">
        <f t="shared" ref="C73:G73" si="17">C44+C68+C70</f>
        <v>1900945.7700000003</v>
      </c>
      <c r="D73" s="61">
        <f t="shared" si="17"/>
        <v>131303995.13000001</v>
      </c>
      <c r="E73" s="61">
        <f t="shared" si="17"/>
        <v>42790818.670000002</v>
      </c>
      <c r="F73" s="61">
        <f t="shared" si="17"/>
        <v>33195819.120000005</v>
      </c>
      <c r="G73" s="61">
        <f t="shared" si="17"/>
        <v>-96207230.23999998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129403049.36</v>
      </c>
      <c r="C75" s="61">
        <f t="shared" ref="C75:G75" si="18">C73+C74</f>
        <v>1900945.7700000003</v>
      </c>
      <c r="D75" s="61">
        <f t="shared" si="18"/>
        <v>131303995.13000001</v>
      </c>
      <c r="E75" s="61">
        <f t="shared" si="18"/>
        <v>42790818.670000002</v>
      </c>
      <c r="F75" s="61">
        <f t="shared" si="18"/>
        <v>33195819.120000005</v>
      </c>
      <c r="G75" s="61">
        <f t="shared" si="18"/>
        <v>-96207230.23999998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70866141732283472" top="0.49" bottom="0.74803149606299213" header="0.31496062992125984" footer="0.31496062992125984"/>
  <pageSetup scale="56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7041843.5099999998</v>
      </c>
      <c r="Q6" s="18">
        <f>'Formato 5'!C12</f>
        <v>0</v>
      </c>
      <c r="R6" s="18">
        <f>'Formato 5'!D12</f>
        <v>7041843.5099999998</v>
      </c>
      <c r="S6" s="18">
        <f>'Formato 5'!E12</f>
        <v>1456838</v>
      </c>
      <c r="T6" s="18">
        <f>'Formato 5'!F12</f>
        <v>1456838</v>
      </c>
      <c r="U6" s="18">
        <f>'Formato 5'!G12</f>
        <v>-5585005.5099999998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3945599.13</v>
      </c>
      <c r="Q7" s="18">
        <f>'Formato 5'!C13</f>
        <v>0</v>
      </c>
      <c r="R7" s="18">
        <f>'Formato 5'!D13</f>
        <v>3945599.13</v>
      </c>
      <c r="S7" s="18">
        <f>'Formato 5'!E13</f>
        <v>1210661.3500000001</v>
      </c>
      <c r="T7" s="18">
        <f>'Formato 5'!F13</f>
        <v>1210661.3500000001</v>
      </c>
      <c r="U7" s="18">
        <f>'Formato 5'!G13</f>
        <v>-2734937.78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4618765.72</v>
      </c>
      <c r="Q8" s="18">
        <f>'Formato 5'!C14</f>
        <v>233433.40000000037</v>
      </c>
      <c r="R8" s="18">
        <f>'Formato 5'!D14</f>
        <v>4852199.12</v>
      </c>
      <c r="S8" s="18">
        <f>'Formato 5'!E14</f>
        <v>490528</v>
      </c>
      <c r="T8" s="18">
        <f>'Formato 5'!F14</f>
        <v>490528</v>
      </c>
      <c r="U8" s="18">
        <f>'Formato 5'!G14</f>
        <v>-4128237.7199999997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111929.47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111929.47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113796841</v>
      </c>
      <c r="Q28" s="18">
        <f>'Formato 5'!C34</f>
        <v>0</v>
      </c>
      <c r="R28" s="18">
        <f>'Formato 5'!D34</f>
        <v>113796841</v>
      </c>
      <c r="S28" s="18">
        <f>'Formato 5'!E34</f>
        <v>37932280.32</v>
      </c>
      <c r="T28" s="18">
        <f>'Formato 5'!F34</f>
        <v>28449210.240000002</v>
      </c>
      <c r="U28" s="18">
        <f>'Formato 5'!G34</f>
        <v>-85347630.75999999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1667512.3699999999</v>
      </c>
      <c r="R31" s="18">
        <f>'Formato 5'!D37</f>
        <v>1667512.3699999999</v>
      </c>
      <c r="S31" s="18">
        <f>'Formato 5'!E37</f>
        <v>1588581.53</v>
      </c>
      <c r="T31" s="18">
        <f>'Formato 5'!F37</f>
        <v>1588581.53</v>
      </c>
      <c r="U31" s="18">
        <f>'Formato 5'!G37</f>
        <v>1588581.53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1667512.3699999999</v>
      </c>
      <c r="R33" s="18">
        <f>'Formato 5'!D39</f>
        <v>1667512.3699999999</v>
      </c>
      <c r="S33" s="18">
        <f>'Formato 5'!E39</f>
        <v>1588581.53</v>
      </c>
      <c r="T33" s="18">
        <f>'Formato 5'!F39</f>
        <v>1588581.53</v>
      </c>
      <c r="U33" s="18">
        <f>'Formato 5'!G39</f>
        <v>1588581.53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129403049.36</v>
      </c>
      <c r="Q34">
        <f>'Formato 5'!C41</f>
        <v>1900945.7700000003</v>
      </c>
      <c r="R34">
        <f>'Formato 5'!D41</f>
        <v>131303995.13000001</v>
      </c>
      <c r="S34">
        <f>'Formato 5'!E41</f>
        <v>42790818.670000002</v>
      </c>
      <c r="T34">
        <f>'Formato 5'!F41</f>
        <v>33195819.120000005</v>
      </c>
      <c r="U34">
        <f>'Formato 5'!G41</f>
        <v>-96207230.23999998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129403049.36</v>
      </c>
      <c r="Q60">
        <f>'Formato 5'!C73</f>
        <v>1900945.7700000003</v>
      </c>
      <c r="R60">
        <f>'Formato 5'!D73</f>
        <v>131303995.13000001</v>
      </c>
      <c r="S60">
        <f>'Formato 5'!E73</f>
        <v>42790818.670000002</v>
      </c>
      <c r="T60">
        <f>'Formato 5'!F73</f>
        <v>33195819.120000005</v>
      </c>
      <c r="U60">
        <f>'Formato 5'!G73</f>
        <v>-96207230.23999998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129403049.36</v>
      </c>
      <c r="Q62">
        <f>'Formato 5'!C75</f>
        <v>1900945.7700000003</v>
      </c>
      <c r="R62">
        <f>'Formato 5'!D75</f>
        <v>131303995.13000001</v>
      </c>
      <c r="S62">
        <f>'Formato 5'!E75</f>
        <v>42790818.670000002</v>
      </c>
      <c r="T62">
        <f>'Formato 5'!F75</f>
        <v>33195819.120000005</v>
      </c>
      <c r="U62">
        <f>'Formato 5'!G75</f>
        <v>-96207230.23999998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XFC161"/>
  <sheetViews>
    <sheetView tabSelected="1" zoomScale="70" zoomScaleNormal="70" zoomScalePageLayoutView="90" workbookViewId="0">
      <selection activeCell="A3" sqref="C3:D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4" t="s">
        <v>3285</v>
      </c>
      <c r="B1" s="173"/>
      <c r="C1" s="173"/>
      <c r="D1" s="173"/>
      <c r="E1" s="173"/>
      <c r="F1" s="173"/>
      <c r="G1" s="173"/>
    </row>
    <row r="2" spans="1:7" x14ac:dyDescent="0.25">
      <c r="A2" s="177" t="str">
        <f>ENTE_PUBLICO_A</f>
        <v>SISTEMA PARA EL DESARROLLO INTEGRAL DE FAMILIA EN EL MUNICIPIO DE LEÓN, GTO, Gobierno del Estado de Guanajuato (a)</v>
      </c>
      <c r="B2" s="177"/>
      <c r="C2" s="177"/>
      <c r="D2" s="177"/>
      <c r="E2" s="177"/>
      <c r="F2" s="177"/>
      <c r="G2" s="177"/>
    </row>
    <row r="3" spans="1:7" x14ac:dyDescent="0.25">
      <c r="A3" s="178" t="s">
        <v>277</v>
      </c>
      <c r="B3" s="178"/>
      <c r="C3" s="178"/>
      <c r="D3" s="178"/>
      <c r="E3" s="178"/>
      <c r="F3" s="178"/>
      <c r="G3" s="178"/>
    </row>
    <row r="4" spans="1:7" x14ac:dyDescent="0.25">
      <c r="A4" s="178" t="s">
        <v>278</v>
      </c>
      <c r="B4" s="178"/>
      <c r="C4" s="178"/>
      <c r="D4" s="178"/>
      <c r="E4" s="178"/>
      <c r="F4" s="178"/>
      <c r="G4" s="178"/>
    </row>
    <row r="5" spans="1:7" x14ac:dyDescent="0.25">
      <c r="A5" s="179" t="str">
        <f>TRIMESTRE</f>
        <v>Del 1 de enero al 30 de marzo de 2019 (b)</v>
      </c>
      <c r="B5" s="179"/>
      <c r="C5" s="179"/>
      <c r="D5" s="179"/>
      <c r="E5" s="179"/>
      <c r="F5" s="179"/>
      <c r="G5" s="179"/>
    </row>
    <row r="6" spans="1:7" x14ac:dyDescent="0.25">
      <c r="A6" s="171" t="s">
        <v>118</v>
      </c>
      <c r="B6" s="171"/>
      <c r="C6" s="171"/>
      <c r="D6" s="171"/>
      <c r="E6" s="171"/>
      <c r="F6" s="171"/>
      <c r="G6" s="171"/>
    </row>
    <row r="7" spans="1:7" ht="15" customHeight="1" x14ac:dyDescent="0.25">
      <c r="A7" s="175" t="s">
        <v>0</v>
      </c>
      <c r="B7" s="175" t="s">
        <v>279</v>
      </c>
      <c r="C7" s="175"/>
      <c r="D7" s="175"/>
      <c r="E7" s="175"/>
      <c r="F7" s="175"/>
      <c r="G7" s="176" t="s">
        <v>280</v>
      </c>
    </row>
    <row r="8" spans="1:7" ht="30" x14ac:dyDescent="0.25">
      <c r="A8" s="17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5"/>
    </row>
    <row r="9" spans="1:7" x14ac:dyDescent="0.25">
      <c r="A9" s="82" t="s">
        <v>285</v>
      </c>
      <c r="B9" s="79">
        <f>SUM(B10,B18,B28,B38,B48,B58,B62,B71,B75)</f>
        <v>129403049.36000003</v>
      </c>
      <c r="C9" s="79">
        <f t="shared" ref="C9:G9" si="0">SUM(C10,C18,C28,C38,C48,C58,C62,C71,C75)</f>
        <v>271839.60999999958</v>
      </c>
      <c r="D9" s="79">
        <f t="shared" si="0"/>
        <v>129674888.97</v>
      </c>
      <c r="E9" s="79">
        <f t="shared" si="0"/>
        <v>28583350.48</v>
      </c>
      <c r="F9" s="79">
        <f t="shared" si="0"/>
        <v>28520839.220000003</v>
      </c>
      <c r="G9" s="79">
        <f t="shared" si="0"/>
        <v>101091538.49000001</v>
      </c>
    </row>
    <row r="10" spans="1:7" x14ac:dyDescent="0.25">
      <c r="A10" s="83" t="s">
        <v>286</v>
      </c>
      <c r="B10" s="80">
        <f>SUM(B11:B17)</f>
        <v>105767915.19000001</v>
      </c>
      <c r="C10" s="80">
        <f t="shared" ref="C10:F10" si="1">SUM(C11:C17)</f>
        <v>0</v>
      </c>
      <c r="D10" s="80">
        <f t="shared" si="1"/>
        <v>105767915.19</v>
      </c>
      <c r="E10" s="80">
        <f t="shared" si="1"/>
        <v>24674210.27</v>
      </c>
      <c r="F10" s="80">
        <f t="shared" si="1"/>
        <v>24674210.27</v>
      </c>
      <c r="G10" s="80">
        <f>SUM(G11:G17)</f>
        <v>81093704.920000002</v>
      </c>
    </row>
    <row r="11" spans="1:7" x14ac:dyDescent="0.25">
      <c r="A11" s="84" t="s">
        <v>287</v>
      </c>
      <c r="B11" s="80">
        <v>67479426.000000015</v>
      </c>
      <c r="C11" s="149">
        <f>D11-B11</f>
        <v>0</v>
      </c>
      <c r="D11" s="149">
        <v>67479426</v>
      </c>
      <c r="E11" s="80">
        <v>16797667.68</v>
      </c>
      <c r="F11" s="80">
        <v>16797667.68</v>
      </c>
      <c r="G11" s="80">
        <f t="shared" ref="G11:G17" si="2">D11-E11</f>
        <v>50681758.32</v>
      </c>
    </row>
    <row r="12" spans="1:7" x14ac:dyDescent="0.25">
      <c r="A12" s="84" t="s">
        <v>288</v>
      </c>
      <c r="B12" s="80">
        <v>0</v>
      </c>
      <c r="C12" s="149">
        <f t="shared" ref="C12:C37" si="3">D12-B12</f>
        <v>0</v>
      </c>
      <c r="D12" s="80">
        <v>0</v>
      </c>
      <c r="E12" s="80">
        <v>0</v>
      </c>
      <c r="F12" s="80">
        <v>0</v>
      </c>
      <c r="G12" s="80">
        <f t="shared" si="2"/>
        <v>0</v>
      </c>
    </row>
    <row r="13" spans="1:7" x14ac:dyDescent="0.25">
      <c r="A13" s="84" t="s">
        <v>289</v>
      </c>
      <c r="B13" s="80">
        <v>9648982.120000001</v>
      </c>
      <c r="C13" s="149">
        <f t="shared" si="3"/>
        <v>0</v>
      </c>
      <c r="D13" s="80">
        <v>9648982.120000001</v>
      </c>
      <c r="E13" s="80">
        <v>2341505.98</v>
      </c>
      <c r="F13" s="80">
        <v>2341505.98</v>
      </c>
      <c r="G13" s="80">
        <f t="shared" si="2"/>
        <v>7307476.1400000006</v>
      </c>
    </row>
    <row r="14" spans="1:7" x14ac:dyDescent="0.25">
      <c r="A14" s="84" t="s">
        <v>290</v>
      </c>
      <c r="B14" s="80">
        <v>17772101.300000001</v>
      </c>
      <c r="C14" s="149">
        <f t="shared" si="3"/>
        <v>0</v>
      </c>
      <c r="D14" s="80">
        <v>17772101.300000001</v>
      </c>
      <c r="E14" s="80">
        <v>3612148.95</v>
      </c>
      <c r="F14" s="80">
        <v>3612148.95</v>
      </c>
      <c r="G14" s="80">
        <f t="shared" si="2"/>
        <v>14159952.350000001</v>
      </c>
    </row>
    <row r="15" spans="1:7" x14ac:dyDescent="0.25">
      <c r="A15" s="84" t="s">
        <v>291</v>
      </c>
      <c r="B15" s="80">
        <v>10867405.770000001</v>
      </c>
      <c r="C15" s="149">
        <f t="shared" si="3"/>
        <v>0</v>
      </c>
      <c r="D15" s="80">
        <v>10867405.770000001</v>
      </c>
      <c r="E15" s="80">
        <v>1922887.6600000001</v>
      </c>
      <c r="F15" s="80">
        <v>1922887.6600000001</v>
      </c>
      <c r="G15" s="80">
        <f t="shared" si="2"/>
        <v>8944518.1100000013</v>
      </c>
    </row>
    <row r="16" spans="1:7" x14ac:dyDescent="0.25">
      <c r="A16" s="84" t="s">
        <v>292</v>
      </c>
      <c r="B16" s="80">
        <v>0</v>
      </c>
      <c r="C16" s="149">
        <f t="shared" si="3"/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149">
        <f t="shared" si="3"/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3735001.8699999996</v>
      </c>
      <c r="C18" s="80">
        <f t="shared" ref="C18:F18" si="4">SUM(C19:C27)</f>
        <v>236213.95</v>
      </c>
      <c r="D18" s="80">
        <f t="shared" si="4"/>
        <v>3971215.8200000003</v>
      </c>
      <c r="E18" s="80">
        <f t="shared" si="4"/>
        <v>954526.27999999991</v>
      </c>
      <c r="F18" s="80">
        <f t="shared" si="4"/>
        <v>954526.27999999991</v>
      </c>
      <c r="G18" s="80">
        <f>SUM(G19:G27)</f>
        <v>3016689.54</v>
      </c>
    </row>
    <row r="19" spans="1:7" x14ac:dyDescent="0.25">
      <c r="A19" s="84" t="s">
        <v>295</v>
      </c>
      <c r="B19" s="80">
        <v>699397.64999999967</v>
      </c>
      <c r="C19" s="80">
        <f t="shared" si="3"/>
        <v>25131.350000000326</v>
      </c>
      <c r="D19" s="80">
        <f>927450.09-D94</f>
        <v>724529</v>
      </c>
      <c r="E19" s="80">
        <f>495737.34-E94</f>
        <v>292816.25</v>
      </c>
      <c r="F19" s="80">
        <f>495737.34-F94</f>
        <v>292816.25</v>
      </c>
      <c r="G19" s="80">
        <f>D19-E19</f>
        <v>431712.75</v>
      </c>
    </row>
    <row r="20" spans="1:7" x14ac:dyDescent="0.25">
      <c r="A20" s="84" t="s">
        <v>296</v>
      </c>
      <c r="B20" s="80">
        <v>669089.2300000001</v>
      </c>
      <c r="C20" s="80">
        <f t="shared" si="3"/>
        <v>167876.3899999999</v>
      </c>
      <c r="D20" s="80">
        <f>890785.8-D95</f>
        <v>836965.62</v>
      </c>
      <c r="E20" s="80">
        <f>229215.06-E95</f>
        <v>175394.88</v>
      </c>
      <c r="F20" s="80">
        <f>229215.06-F95</f>
        <v>175394.88</v>
      </c>
      <c r="G20" s="80">
        <f t="shared" ref="G20:G27" si="5">D20-E20</f>
        <v>661570.74</v>
      </c>
    </row>
    <row r="21" spans="1:7" x14ac:dyDescent="0.25">
      <c r="A21" s="84" t="s">
        <v>297</v>
      </c>
      <c r="B21" s="80"/>
      <c r="C21" s="80">
        <f t="shared" si="3"/>
        <v>0</v>
      </c>
      <c r="D21" s="80"/>
      <c r="E21" s="80"/>
      <c r="F21" s="80"/>
      <c r="G21" s="80">
        <f t="shared" si="5"/>
        <v>0</v>
      </c>
    </row>
    <row r="22" spans="1:7" x14ac:dyDescent="0.25">
      <c r="A22" s="84" t="s">
        <v>298</v>
      </c>
      <c r="B22" s="80">
        <v>426886.32000000012</v>
      </c>
      <c r="C22" s="80">
        <f t="shared" si="3"/>
        <v>3504.9999999998254</v>
      </c>
      <c r="D22" s="80">
        <f>522469.54-D97</f>
        <v>430391.31999999995</v>
      </c>
      <c r="E22" s="80">
        <f>220461.71-E97</f>
        <v>128392.12</v>
      </c>
      <c r="F22" s="80">
        <f>220461.71-F97</f>
        <v>128392.12</v>
      </c>
      <c r="G22" s="80">
        <f t="shared" si="5"/>
        <v>301999.19999999995</v>
      </c>
    </row>
    <row r="23" spans="1:7" x14ac:dyDescent="0.25">
      <c r="A23" s="84" t="s">
        <v>299</v>
      </c>
      <c r="B23" s="80">
        <v>63468.240000000005</v>
      </c>
      <c r="C23" s="80">
        <f t="shared" si="3"/>
        <v>-2500.0000000000073</v>
      </c>
      <c r="D23" s="80">
        <f>60968.24-D98</f>
        <v>60968.24</v>
      </c>
      <c r="E23" s="80">
        <f>114-E98</f>
        <v>114</v>
      </c>
      <c r="F23" s="80">
        <v>114</v>
      </c>
      <c r="G23" s="80">
        <f t="shared" si="5"/>
        <v>60854.239999999998</v>
      </c>
    </row>
    <row r="24" spans="1:7" x14ac:dyDescent="0.25">
      <c r="A24" s="84" t="s">
        <v>300</v>
      </c>
      <c r="B24" s="80">
        <v>1521651.81</v>
      </c>
      <c r="C24" s="80">
        <f t="shared" si="3"/>
        <v>0</v>
      </c>
      <c r="D24" s="80">
        <f>1521651.81-D99</f>
        <v>1521651.81</v>
      </c>
      <c r="E24" s="80">
        <f>282776.46-E99</f>
        <v>282776.46000000002</v>
      </c>
      <c r="F24" s="80">
        <f>282776.46-F99</f>
        <v>282776.46000000002</v>
      </c>
      <c r="G24" s="80">
        <f t="shared" si="5"/>
        <v>1238875.3500000001</v>
      </c>
    </row>
    <row r="25" spans="1:7" x14ac:dyDescent="0.25">
      <c r="A25" s="84" t="s">
        <v>301</v>
      </c>
      <c r="B25" s="80">
        <v>244682.07</v>
      </c>
      <c r="C25" s="80">
        <f t="shared" si="3"/>
        <v>69.989999999990687</v>
      </c>
      <c r="D25" s="150">
        <f>279072.06-D100</f>
        <v>244752.06</v>
      </c>
      <c r="E25" s="150">
        <f>42691.99-E100</f>
        <v>8371.989999999998</v>
      </c>
      <c r="F25" s="150">
        <f>42691.99-F100</f>
        <v>8371.989999999998</v>
      </c>
      <c r="G25" s="80">
        <f t="shared" si="5"/>
        <v>236380.07</v>
      </c>
    </row>
    <row r="26" spans="1:7" x14ac:dyDescent="0.25">
      <c r="A26" s="84" t="s">
        <v>302</v>
      </c>
      <c r="B26" s="80">
        <v>0</v>
      </c>
      <c r="C26" s="80">
        <f t="shared" si="3"/>
        <v>0</v>
      </c>
      <c r="D26" s="80">
        <v>0</v>
      </c>
      <c r="E26" s="80">
        <v>0</v>
      </c>
      <c r="F26" s="80">
        <v>0</v>
      </c>
      <c r="G26" s="80">
        <f t="shared" si="5"/>
        <v>0</v>
      </c>
    </row>
    <row r="27" spans="1:7" x14ac:dyDescent="0.25">
      <c r="A27" s="84" t="s">
        <v>303</v>
      </c>
      <c r="B27" s="80">
        <v>109826.55000000003</v>
      </c>
      <c r="C27" s="80">
        <f t="shared" si="3"/>
        <v>42131.219999999958</v>
      </c>
      <c r="D27" s="80">
        <f>151957.77-D102</f>
        <v>151957.76999999999</v>
      </c>
      <c r="E27" s="80">
        <f>66660.58-E102</f>
        <v>66660.58</v>
      </c>
      <c r="F27" s="80">
        <f>66660.58-F102</f>
        <v>66660.58</v>
      </c>
      <c r="G27" s="80">
        <f t="shared" si="5"/>
        <v>85297.189999999988</v>
      </c>
    </row>
    <row r="28" spans="1:7" x14ac:dyDescent="0.25">
      <c r="A28" s="83" t="s">
        <v>304</v>
      </c>
      <c r="B28" s="80">
        <f>SUM(B29:B37)</f>
        <v>14359175.84</v>
      </c>
      <c r="C28" s="80">
        <f t="shared" ref="C28:G28" si="6">SUM(C29:C37)</f>
        <v>19933.399999999594</v>
      </c>
      <c r="D28" s="80">
        <f t="shared" si="6"/>
        <v>14379109.24</v>
      </c>
      <c r="E28" s="80">
        <f t="shared" si="6"/>
        <v>2091680.54</v>
      </c>
      <c r="F28" s="80">
        <f t="shared" si="6"/>
        <v>2051494.2799999998</v>
      </c>
      <c r="G28" s="80">
        <f t="shared" si="6"/>
        <v>12287428.700000001</v>
      </c>
    </row>
    <row r="29" spans="1:7" x14ac:dyDescent="0.25">
      <c r="A29" s="84" t="s">
        <v>305</v>
      </c>
      <c r="B29" s="80">
        <v>1246230.4500000002</v>
      </c>
      <c r="C29" s="80">
        <f t="shared" si="3"/>
        <v>-2000.0000000002328</v>
      </c>
      <c r="D29" s="80">
        <f>1244230.45-D104</f>
        <v>1244230.45</v>
      </c>
      <c r="E29" s="80">
        <f>403576.01-E104</f>
        <v>403576.01</v>
      </c>
      <c r="F29" s="80">
        <v>403576.00999999989</v>
      </c>
      <c r="G29" s="80">
        <f>D29-E29</f>
        <v>840654.44</v>
      </c>
    </row>
    <row r="30" spans="1:7" x14ac:dyDescent="0.25">
      <c r="A30" s="84" t="s">
        <v>306</v>
      </c>
      <c r="B30" s="80">
        <v>38915.189999999995</v>
      </c>
      <c r="C30" s="80">
        <f t="shared" si="3"/>
        <v>1000.0000000000073</v>
      </c>
      <c r="D30" s="80">
        <v>39915.19</v>
      </c>
      <c r="E30" s="80">
        <f>18870.08-E105</f>
        <v>18870.080000000002</v>
      </c>
      <c r="F30" s="80">
        <v>18870.079999999998</v>
      </c>
      <c r="G30" s="80">
        <f t="shared" ref="G30:G37" si="7">D30-E30</f>
        <v>21045.11</v>
      </c>
    </row>
    <row r="31" spans="1:7" x14ac:dyDescent="0.25">
      <c r="A31" s="84" t="s">
        <v>307</v>
      </c>
      <c r="B31" s="80">
        <v>5293094.4300000006</v>
      </c>
      <c r="C31" s="80">
        <f t="shared" si="3"/>
        <v>56994.299999999814</v>
      </c>
      <c r="D31" s="80">
        <f>5716202.98-D106</f>
        <v>5350088.7300000004</v>
      </c>
      <c r="E31" s="80">
        <f>1095711.83-E106</f>
        <v>785649.89000000013</v>
      </c>
      <c r="F31" s="80">
        <f>1083945.57-F106</f>
        <v>773883.63000000012</v>
      </c>
      <c r="G31" s="80">
        <f t="shared" si="7"/>
        <v>4564438.84</v>
      </c>
    </row>
    <row r="32" spans="1:7" x14ac:dyDescent="0.25">
      <c r="A32" s="84" t="s">
        <v>308</v>
      </c>
      <c r="B32" s="80">
        <v>267017.75</v>
      </c>
      <c r="C32" s="80">
        <f t="shared" si="3"/>
        <v>-5500</v>
      </c>
      <c r="D32" s="80">
        <f>261517.75-D107</f>
        <v>261517.75</v>
      </c>
      <c r="E32" s="80">
        <f>18544.1-E107</f>
        <v>18544.099999999999</v>
      </c>
      <c r="F32" s="80">
        <v>18544.099999999999</v>
      </c>
      <c r="G32" s="80">
        <f t="shared" si="7"/>
        <v>242973.65</v>
      </c>
    </row>
    <row r="33" spans="1:7" x14ac:dyDescent="0.25">
      <c r="A33" s="84" t="s">
        <v>309</v>
      </c>
      <c r="B33" s="80">
        <v>4038281.61</v>
      </c>
      <c r="C33" s="80">
        <f t="shared" si="3"/>
        <v>-25999.999999999534</v>
      </c>
      <c r="D33" s="80">
        <f>4766287.87-D108</f>
        <v>4012281.6100000003</v>
      </c>
      <c r="E33" s="80">
        <f>884365.84-E108</f>
        <v>150659.57999999996</v>
      </c>
      <c r="F33" s="80">
        <f>855945.84-F108</f>
        <v>122239.57999999996</v>
      </c>
      <c r="G33" s="80">
        <f t="shared" si="7"/>
        <v>3861622.0300000003</v>
      </c>
    </row>
    <row r="34" spans="1:7" x14ac:dyDescent="0.25">
      <c r="A34" s="84" t="s">
        <v>310</v>
      </c>
      <c r="B34" s="80">
        <v>192513.45</v>
      </c>
      <c r="C34" s="80">
        <f t="shared" si="3"/>
        <v>-38000</v>
      </c>
      <c r="D34" s="80">
        <f>154513.45-D109</f>
        <v>154513.45000000001</v>
      </c>
      <c r="E34" s="80">
        <f>39193.76-E109</f>
        <v>39193.760000000002</v>
      </c>
      <c r="F34" s="80">
        <v>39193.759999999995</v>
      </c>
      <c r="G34" s="80">
        <f t="shared" si="7"/>
        <v>115319.69</v>
      </c>
    </row>
    <row r="35" spans="1:7" x14ac:dyDescent="0.25">
      <c r="A35" s="84" t="s">
        <v>311</v>
      </c>
      <c r="B35" s="80">
        <v>186737.88999999998</v>
      </c>
      <c r="C35" s="80">
        <f t="shared" si="3"/>
        <v>12500.000000000029</v>
      </c>
      <c r="D35" s="80">
        <f>199237.89-D110</f>
        <v>199237.89</v>
      </c>
      <c r="E35" s="80">
        <f>40948-E110</f>
        <v>40948</v>
      </c>
      <c r="F35" s="80">
        <v>40948</v>
      </c>
      <c r="G35" s="80">
        <f t="shared" si="7"/>
        <v>158289.89000000001</v>
      </c>
    </row>
    <row r="36" spans="1:7" x14ac:dyDescent="0.25">
      <c r="A36" s="84" t="s">
        <v>312</v>
      </c>
      <c r="B36" s="80">
        <v>2054760.5100000005</v>
      </c>
      <c r="C36" s="80">
        <f t="shared" si="3"/>
        <v>-3200.0000000004657</v>
      </c>
      <c r="D36" s="80">
        <f>2051560.51-D111</f>
        <v>2051560.51</v>
      </c>
      <c r="E36" s="80">
        <f>176022.46-E111</f>
        <v>176022.46</v>
      </c>
      <c r="F36" s="80">
        <v>176022.46</v>
      </c>
      <c r="G36" s="80">
        <f t="shared" si="7"/>
        <v>1875538.05</v>
      </c>
    </row>
    <row r="37" spans="1:7" x14ac:dyDescent="0.25">
      <c r="A37" s="84" t="s">
        <v>313</v>
      </c>
      <c r="B37" s="80">
        <v>1041624.5600000002</v>
      </c>
      <c r="C37" s="80">
        <f t="shared" si="3"/>
        <v>24139.099999999977</v>
      </c>
      <c r="D37" s="80">
        <f>1065819.34-D112</f>
        <v>1065763.6600000001</v>
      </c>
      <c r="E37" s="80">
        <f>458270.95-E112</f>
        <v>458216.66000000003</v>
      </c>
      <c r="F37" s="80">
        <f>458270.95-F112</f>
        <v>458216.66000000003</v>
      </c>
      <c r="G37" s="80">
        <f t="shared" si="7"/>
        <v>607547.00000000012</v>
      </c>
    </row>
    <row r="38" spans="1:7" x14ac:dyDescent="0.25">
      <c r="A38" s="83" t="s">
        <v>314</v>
      </c>
      <c r="B38" s="80">
        <f>SUM(B39:B47)</f>
        <v>5415822.8200000003</v>
      </c>
      <c r="C38" s="80">
        <f t="shared" ref="C38:G38" si="8">SUM(C39:C47)</f>
        <v>0</v>
      </c>
      <c r="D38" s="80">
        <f t="shared" si="8"/>
        <v>5415822.8200000003</v>
      </c>
      <c r="E38" s="80">
        <f t="shared" si="8"/>
        <v>764917.43</v>
      </c>
      <c r="F38" s="80">
        <f t="shared" si="8"/>
        <v>742592.43</v>
      </c>
      <c r="G38" s="80">
        <f t="shared" si="8"/>
        <v>4650905.3900000006</v>
      </c>
    </row>
    <row r="39" spans="1:7" x14ac:dyDescent="0.25">
      <c r="A39" s="84" t="s">
        <v>315</v>
      </c>
      <c r="B39" s="80"/>
      <c r="C39" s="80">
        <v>0</v>
      </c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>
        <v>0</v>
      </c>
      <c r="D40" s="80"/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>
        <v>5415822.8200000003</v>
      </c>
      <c r="C41" s="80">
        <f t="shared" ref="C41" si="10">D41-B41</f>
        <v>0</v>
      </c>
      <c r="D41" s="80">
        <f>5497882.82-D117</f>
        <v>5415822.8200000003</v>
      </c>
      <c r="E41" s="80">
        <f>846977.43-E117</f>
        <v>764917.43</v>
      </c>
      <c r="F41" s="80">
        <f>824652.43-F117</f>
        <v>742592.43</v>
      </c>
      <c r="G41" s="80">
        <f t="shared" si="9"/>
        <v>4650905.3900000006</v>
      </c>
    </row>
    <row r="42" spans="1:7" x14ac:dyDescent="0.25">
      <c r="A42" s="84" t="s">
        <v>318</v>
      </c>
      <c r="B42" s="80"/>
      <c r="C42" s="80">
        <v>0</v>
      </c>
      <c r="D42" s="80"/>
      <c r="E42" s="80"/>
      <c r="F42" s="80"/>
      <c r="G42" s="80">
        <f t="shared" si="9"/>
        <v>0</v>
      </c>
    </row>
    <row r="43" spans="1:7" x14ac:dyDescent="0.25">
      <c r="A43" s="84" t="s">
        <v>319</v>
      </c>
      <c r="B43" s="80"/>
      <c r="C43" s="80">
        <v>0</v>
      </c>
      <c r="D43" s="80"/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>
        <v>0</v>
      </c>
      <c r="D44" s="80"/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>
        <v>0</v>
      </c>
      <c r="D45" s="80"/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>
        <v>0</v>
      </c>
      <c r="D46" s="80"/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>
        <v>0</v>
      </c>
      <c r="D47" s="80"/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125133.64</v>
      </c>
      <c r="C48" s="80">
        <f t="shared" ref="C48:G48" si="11">SUM(C49:C57)</f>
        <v>15692.259999999987</v>
      </c>
      <c r="D48" s="80">
        <f t="shared" si="11"/>
        <v>140825.9</v>
      </c>
      <c r="E48" s="80">
        <f t="shared" si="11"/>
        <v>98015.959999999992</v>
      </c>
      <c r="F48" s="80">
        <f t="shared" si="11"/>
        <v>98015.959999999992</v>
      </c>
      <c r="G48" s="80">
        <f t="shared" si="11"/>
        <v>42809.94</v>
      </c>
    </row>
    <row r="49" spans="1:7" x14ac:dyDescent="0.25">
      <c r="A49" s="84" t="s">
        <v>325</v>
      </c>
      <c r="B49" s="80">
        <v>73796.740000000005</v>
      </c>
      <c r="C49" s="80">
        <f t="shared" ref="C49:C82" si="12">D49-B49</f>
        <v>18184.969999999987</v>
      </c>
      <c r="D49" s="80">
        <f>135712.19-D124</f>
        <v>91981.709999999992</v>
      </c>
      <c r="E49" s="80">
        <f>128765.44-E124</f>
        <v>85034.959999999992</v>
      </c>
      <c r="F49" s="80">
        <f>128765.44-F124</f>
        <v>85034.959999999992</v>
      </c>
      <c r="G49" s="80">
        <f>D49-E49</f>
        <v>6946.75</v>
      </c>
    </row>
    <row r="50" spans="1:7" x14ac:dyDescent="0.25">
      <c r="A50" s="84" t="s">
        <v>326</v>
      </c>
      <c r="B50" s="80"/>
      <c r="C50" s="80">
        <f t="shared" si="12"/>
        <v>0</v>
      </c>
      <c r="D50" s="80"/>
      <c r="E50" s="80"/>
      <c r="F50" s="80"/>
      <c r="G50" s="80">
        <f t="shared" ref="G50:G57" si="13">D50-E50</f>
        <v>0</v>
      </c>
    </row>
    <row r="51" spans="1:7" x14ac:dyDescent="0.25">
      <c r="A51" s="84" t="s">
        <v>327</v>
      </c>
      <c r="B51" s="80">
        <v>25668.46</v>
      </c>
      <c r="C51" s="80">
        <f t="shared" si="12"/>
        <v>-9900</v>
      </c>
      <c r="D51" s="80">
        <f>15768.46-D126</f>
        <v>15768.46</v>
      </c>
      <c r="E51" s="80">
        <v>0</v>
      </c>
      <c r="F51" s="80">
        <v>0</v>
      </c>
      <c r="G51" s="80">
        <f t="shared" si="13"/>
        <v>15768.46</v>
      </c>
    </row>
    <row r="52" spans="1:7" x14ac:dyDescent="0.25">
      <c r="A52" s="84" t="s">
        <v>328</v>
      </c>
      <c r="B52" s="80"/>
      <c r="C52" s="80">
        <f t="shared" si="12"/>
        <v>0</v>
      </c>
      <c r="D52" s="80"/>
      <c r="E52" s="80"/>
      <c r="F52" s="80"/>
      <c r="G52" s="80">
        <f t="shared" si="13"/>
        <v>0</v>
      </c>
    </row>
    <row r="53" spans="1:7" x14ac:dyDescent="0.25">
      <c r="A53" s="84" t="s">
        <v>329</v>
      </c>
      <c r="B53" s="80"/>
      <c r="C53" s="80">
        <f t="shared" si="12"/>
        <v>0</v>
      </c>
      <c r="D53" s="80"/>
      <c r="E53" s="80"/>
      <c r="F53" s="80"/>
      <c r="G53" s="80">
        <f t="shared" si="13"/>
        <v>0</v>
      </c>
    </row>
    <row r="54" spans="1:7" x14ac:dyDescent="0.25">
      <c r="A54" s="84" t="s">
        <v>330</v>
      </c>
      <c r="B54" s="80">
        <v>12834.21</v>
      </c>
      <c r="C54" s="80">
        <f t="shared" si="12"/>
        <v>7407.2900000000009</v>
      </c>
      <c r="D54" s="80">
        <f>20241.5-D129</f>
        <v>20241.5</v>
      </c>
      <c r="E54" s="80">
        <v>12981</v>
      </c>
      <c r="F54" s="80">
        <v>12981</v>
      </c>
      <c r="G54" s="80">
        <f t="shared" si="13"/>
        <v>7260.5</v>
      </c>
    </row>
    <row r="55" spans="1:7" x14ac:dyDescent="0.25">
      <c r="A55" s="84" t="s">
        <v>331</v>
      </c>
      <c r="B55" s="80"/>
      <c r="C55" s="80">
        <f t="shared" si="12"/>
        <v>0</v>
      </c>
      <c r="D55" s="80"/>
      <c r="E55" s="80"/>
      <c r="F55" s="80"/>
      <c r="G55" s="80">
        <f t="shared" si="13"/>
        <v>0</v>
      </c>
    </row>
    <row r="56" spans="1:7" x14ac:dyDescent="0.25">
      <c r="A56" s="84" t="s">
        <v>332</v>
      </c>
      <c r="B56" s="80"/>
      <c r="C56" s="80">
        <f t="shared" si="12"/>
        <v>0</v>
      </c>
      <c r="D56" s="80"/>
      <c r="E56" s="80"/>
      <c r="F56" s="80"/>
      <c r="G56" s="80">
        <f t="shared" si="13"/>
        <v>0</v>
      </c>
    </row>
    <row r="57" spans="1:7" x14ac:dyDescent="0.25">
      <c r="A57" s="84" t="s">
        <v>333</v>
      </c>
      <c r="B57" s="80">
        <v>12834.23</v>
      </c>
      <c r="C57" s="80">
        <f t="shared" si="12"/>
        <v>0</v>
      </c>
      <c r="D57" s="80">
        <v>12834.23</v>
      </c>
      <c r="E57" s="80">
        <v>0</v>
      </c>
      <c r="F57" s="80">
        <v>0</v>
      </c>
      <c r="G57" s="80">
        <f t="shared" si="13"/>
        <v>12834.23</v>
      </c>
    </row>
    <row r="58" spans="1:7" x14ac:dyDescent="0.25">
      <c r="A58" s="83" t="s">
        <v>334</v>
      </c>
      <c r="B58" s="80">
        <f>SUM(B59:B61)</f>
        <v>0</v>
      </c>
      <c r="C58" s="80">
        <f t="shared" si="12"/>
        <v>0</v>
      </c>
      <c r="D58" s="80">
        <f t="shared" ref="D58:G58" si="14">SUM(D59:D61)</f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 x14ac:dyDescent="0.25">
      <c r="A59" s="84" t="s">
        <v>335</v>
      </c>
      <c r="B59" s="80">
        <v>0</v>
      </c>
      <c r="C59" s="80">
        <f t="shared" si="12"/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f t="shared" si="12"/>
        <v>0</v>
      </c>
      <c r="D60" s="80">
        <v>0</v>
      </c>
      <c r="E60" s="80">
        <v>0</v>
      </c>
      <c r="F60" s="80">
        <v>0</v>
      </c>
      <c r="G60" s="80">
        <f t="shared" ref="G60:G61" si="15">D60-E60</f>
        <v>0</v>
      </c>
    </row>
    <row r="61" spans="1:7" x14ac:dyDescent="0.25">
      <c r="A61" s="84" t="s">
        <v>337</v>
      </c>
      <c r="B61" s="80">
        <v>0</v>
      </c>
      <c r="C61" s="80">
        <f t="shared" si="12"/>
        <v>0</v>
      </c>
      <c r="D61" s="80">
        <v>0</v>
      </c>
      <c r="E61" s="80">
        <v>0</v>
      </c>
      <c r="F61" s="80">
        <v>0</v>
      </c>
      <c r="G61" s="80">
        <f t="shared" si="15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si="12"/>
        <v>0</v>
      </c>
      <c r="D62" s="80">
        <f t="shared" ref="D62:G62" si="16">SUM(D63:D67,D69:D70)</f>
        <v>0</v>
      </c>
      <c r="E62" s="80">
        <f t="shared" si="16"/>
        <v>0</v>
      </c>
      <c r="F62" s="80">
        <f t="shared" si="16"/>
        <v>0</v>
      </c>
      <c r="G62" s="80">
        <f t="shared" si="16"/>
        <v>0</v>
      </c>
    </row>
    <row r="63" spans="1:7" x14ac:dyDescent="0.25">
      <c r="A63" s="84" t="s">
        <v>339</v>
      </c>
      <c r="B63" s="80">
        <v>0</v>
      </c>
      <c r="C63" s="80">
        <f t="shared" si="12"/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f t="shared" si="12"/>
        <v>0</v>
      </c>
      <c r="D64" s="80">
        <v>0</v>
      </c>
      <c r="E64" s="80">
        <v>0</v>
      </c>
      <c r="F64" s="80">
        <v>0</v>
      </c>
      <c r="G64" s="80">
        <f t="shared" ref="G64:G70" si="17">D64-E64</f>
        <v>0</v>
      </c>
    </row>
    <row r="65" spans="1:7" x14ac:dyDescent="0.25">
      <c r="A65" s="84" t="s">
        <v>341</v>
      </c>
      <c r="B65" s="80">
        <v>0</v>
      </c>
      <c r="C65" s="80">
        <f t="shared" si="12"/>
        <v>0</v>
      </c>
      <c r="D65" s="80">
        <v>0</v>
      </c>
      <c r="E65" s="80">
        <v>0</v>
      </c>
      <c r="F65" s="80">
        <v>0</v>
      </c>
      <c r="G65" s="80">
        <f t="shared" si="17"/>
        <v>0</v>
      </c>
    </row>
    <row r="66" spans="1:7" x14ac:dyDescent="0.25">
      <c r="A66" s="84" t="s">
        <v>342</v>
      </c>
      <c r="B66" s="80">
        <v>0</v>
      </c>
      <c r="C66" s="80">
        <f t="shared" si="12"/>
        <v>0</v>
      </c>
      <c r="D66" s="80">
        <v>0</v>
      </c>
      <c r="E66" s="80">
        <v>0</v>
      </c>
      <c r="F66" s="80">
        <v>0</v>
      </c>
      <c r="G66" s="80">
        <f t="shared" si="17"/>
        <v>0</v>
      </c>
    </row>
    <row r="67" spans="1:7" x14ac:dyDescent="0.25">
      <c r="A67" s="84" t="s">
        <v>343</v>
      </c>
      <c r="B67" s="80">
        <v>0</v>
      </c>
      <c r="C67" s="80">
        <f t="shared" si="12"/>
        <v>0</v>
      </c>
      <c r="D67" s="80">
        <v>0</v>
      </c>
      <c r="E67" s="80">
        <v>0</v>
      </c>
      <c r="F67" s="80">
        <v>0</v>
      </c>
      <c r="G67" s="80">
        <f t="shared" si="17"/>
        <v>0</v>
      </c>
    </row>
    <row r="68" spans="1:7" x14ac:dyDescent="0.25">
      <c r="A68" s="84" t="s">
        <v>3301</v>
      </c>
      <c r="B68" s="80">
        <v>0</v>
      </c>
      <c r="C68" s="80">
        <f t="shared" si="12"/>
        <v>0</v>
      </c>
      <c r="D68" s="80">
        <v>0</v>
      </c>
      <c r="E68" s="80">
        <v>0</v>
      </c>
      <c r="F68" s="80">
        <v>0</v>
      </c>
      <c r="G68" s="80">
        <f t="shared" si="17"/>
        <v>0</v>
      </c>
    </row>
    <row r="69" spans="1:7" x14ac:dyDescent="0.25">
      <c r="A69" s="84" t="s">
        <v>345</v>
      </c>
      <c r="B69" s="80">
        <v>0</v>
      </c>
      <c r="C69" s="80">
        <f t="shared" si="12"/>
        <v>0</v>
      </c>
      <c r="D69" s="80">
        <v>0</v>
      </c>
      <c r="E69" s="80">
        <v>0</v>
      </c>
      <c r="F69" s="80">
        <v>0</v>
      </c>
      <c r="G69" s="80">
        <f t="shared" si="17"/>
        <v>0</v>
      </c>
    </row>
    <row r="70" spans="1:7" x14ac:dyDescent="0.25">
      <c r="A70" s="84" t="s">
        <v>346</v>
      </c>
      <c r="B70" s="80">
        <v>0</v>
      </c>
      <c r="C70" s="80">
        <f t="shared" si="12"/>
        <v>0</v>
      </c>
      <c r="D70" s="80">
        <v>0</v>
      </c>
      <c r="E70" s="80">
        <v>0</v>
      </c>
      <c r="F70" s="80">
        <v>0</v>
      </c>
      <c r="G70" s="80">
        <f t="shared" si="17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si="12"/>
        <v>0</v>
      </c>
      <c r="D71" s="80">
        <f t="shared" ref="D71:G71" si="18">SUM(D72:D74)</f>
        <v>0</v>
      </c>
      <c r="E71" s="80">
        <f t="shared" si="18"/>
        <v>0</v>
      </c>
      <c r="F71" s="80">
        <f t="shared" si="18"/>
        <v>0</v>
      </c>
      <c r="G71" s="80">
        <f t="shared" si="18"/>
        <v>0</v>
      </c>
    </row>
    <row r="72" spans="1:7" x14ac:dyDescent="0.25">
      <c r="A72" s="84" t="s">
        <v>348</v>
      </c>
      <c r="B72" s="80">
        <v>0</v>
      </c>
      <c r="C72" s="80">
        <f t="shared" si="12"/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f t="shared" si="12"/>
        <v>0</v>
      </c>
      <c r="D73" s="80">
        <v>0</v>
      </c>
      <c r="E73" s="80">
        <v>0</v>
      </c>
      <c r="F73" s="80">
        <v>0</v>
      </c>
      <c r="G73" s="80">
        <f t="shared" ref="G73:G74" si="19">D73-E73</f>
        <v>0</v>
      </c>
    </row>
    <row r="74" spans="1:7" x14ac:dyDescent="0.25">
      <c r="A74" s="84" t="s">
        <v>350</v>
      </c>
      <c r="B74" s="80">
        <v>0</v>
      </c>
      <c r="C74" s="80">
        <f t="shared" si="12"/>
        <v>0</v>
      </c>
      <c r="D74" s="80">
        <v>0</v>
      </c>
      <c r="E74" s="80">
        <v>0</v>
      </c>
      <c r="F74" s="80">
        <v>0</v>
      </c>
      <c r="G74" s="80">
        <f t="shared" si="19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si="12"/>
        <v>0</v>
      </c>
      <c r="D75" s="80">
        <f t="shared" ref="D75:G75" si="20">SUM(D76:D82)</f>
        <v>0</v>
      </c>
      <c r="E75" s="80">
        <f t="shared" si="20"/>
        <v>0</v>
      </c>
      <c r="F75" s="80">
        <f t="shared" si="20"/>
        <v>0</v>
      </c>
      <c r="G75" s="80">
        <f t="shared" si="20"/>
        <v>0</v>
      </c>
    </row>
    <row r="76" spans="1:7" x14ac:dyDescent="0.25">
      <c r="A76" s="84" t="s">
        <v>352</v>
      </c>
      <c r="B76" s="80">
        <v>0</v>
      </c>
      <c r="C76" s="80">
        <f t="shared" si="12"/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f t="shared" si="12"/>
        <v>0</v>
      </c>
      <c r="D77" s="80">
        <v>0</v>
      </c>
      <c r="E77" s="80">
        <v>0</v>
      </c>
      <c r="F77" s="80">
        <v>0</v>
      </c>
      <c r="G77" s="80">
        <f t="shared" ref="G77:G82" si="21">D77-E77</f>
        <v>0</v>
      </c>
    </row>
    <row r="78" spans="1:7" x14ac:dyDescent="0.25">
      <c r="A78" s="84" t="s">
        <v>354</v>
      </c>
      <c r="B78" s="80">
        <v>0</v>
      </c>
      <c r="C78" s="80">
        <f t="shared" si="12"/>
        <v>0</v>
      </c>
      <c r="D78" s="80">
        <v>0</v>
      </c>
      <c r="E78" s="80">
        <v>0</v>
      </c>
      <c r="F78" s="80">
        <v>0</v>
      </c>
      <c r="G78" s="80">
        <f t="shared" si="21"/>
        <v>0</v>
      </c>
    </row>
    <row r="79" spans="1:7" x14ac:dyDescent="0.25">
      <c r="A79" s="84" t="s">
        <v>355</v>
      </c>
      <c r="B79" s="80">
        <v>0</v>
      </c>
      <c r="C79" s="80">
        <f t="shared" si="12"/>
        <v>0</v>
      </c>
      <c r="D79" s="80">
        <v>0</v>
      </c>
      <c r="E79" s="80">
        <v>0</v>
      </c>
      <c r="F79" s="80">
        <v>0</v>
      </c>
      <c r="G79" s="80">
        <f t="shared" si="21"/>
        <v>0</v>
      </c>
    </row>
    <row r="80" spans="1:7" x14ac:dyDescent="0.25">
      <c r="A80" s="84" t="s">
        <v>356</v>
      </c>
      <c r="B80" s="80">
        <v>0</v>
      </c>
      <c r="C80" s="80">
        <f t="shared" si="12"/>
        <v>0</v>
      </c>
      <c r="D80" s="80">
        <v>0</v>
      </c>
      <c r="E80" s="80">
        <v>0</v>
      </c>
      <c r="F80" s="80">
        <v>0</v>
      </c>
      <c r="G80" s="80">
        <f t="shared" si="21"/>
        <v>0</v>
      </c>
    </row>
    <row r="81" spans="1:7" x14ac:dyDescent="0.25">
      <c r="A81" s="84" t="s">
        <v>357</v>
      </c>
      <c r="B81" s="80">
        <v>0</v>
      </c>
      <c r="C81" s="80">
        <f t="shared" si="12"/>
        <v>0</v>
      </c>
      <c r="D81" s="80">
        <v>0</v>
      </c>
      <c r="E81" s="80">
        <v>0</v>
      </c>
      <c r="F81" s="80">
        <v>0</v>
      </c>
      <c r="G81" s="80">
        <f t="shared" si="21"/>
        <v>0</v>
      </c>
    </row>
    <row r="82" spans="1:7" x14ac:dyDescent="0.25">
      <c r="A82" s="84" t="s">
        <v>358</v>
      </c>
      <c r="B82" s="80">
        <v>0</v>
      </c>
      <c r="C82" s="80">
        <f t="shared" si="12"/>
        <v>0</v>
      </c>
      <c r="D82" s="80">
        <v>0</v>
      </c>
      <c r="E82" s="80">
        <v>0</v>
      </c>
      <c r="F82" s="80">
        <v>0</v>
      </c>
      <c r="G82" s="80">
        <f t="shared" si="21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F84" si="22">SUM(C85,C93,C103,C113,C123,C133,C137,C146,C150)</f>
        <v>1629106.16</v>
      </c>
      <c r="D84" s="79">
        <f t="shared" si="22"/>
        <v>1629106.16</v>
      </c>
      <c r="E84" s="79">
        <f t="shared" si="22"/>
        <v>1552743.83</v>
      </c>
      <c r="F84" s="79">
        <f t="shared" si="22"/>
        <v>1552743.83</v>
      </c>
      <c r="G84" s="79">
        <f>SUM(G85,G93,G103,G113,G123,G133,G137,G146,G150)</f>
        <v>76362.33</v>
      </c>
    </row>
    <row r="85" spans="1:7" x14ac:dyDescent="0.25">
      <c r="A85" s="83" t="s">
        <v>286</v>
      </c>
      <c r="B85" s="80">
        <f>SUM(B86:B92)</f>
        <v>0</v>
      </c>
      <c r="C85" s="80">
        <f t="shared" ref="C85:C129" si="23">D85-B85</f>
        <v>0</v>
      </c>
      <c r="D85" s="80">
        <v>0</v>
      </c>
      <c r="E85" s="80">
        <f t="shared" ref="E85:G85" si="24">SUM(E86:E92)</f>
        <v>0</v>
      </c>
      <c r="F85" s="80">
        <f t="shared" si="24"/>
        <v>0</v>
      </c>
      <c r="G85" s="80">
        <f t="shared" si="24"/>
        <v>0</v>
      </c>
    </row>
    <row r="86" spans="1:7" x14ac:dyDescent="0.25">
      <c r="A86" s="84" t="s">
        <v>287</v>
      </c>
      <c r="B86" s="80">
        <v>0</v>
      </c>
      <c r="C86" s="80">
        <f t="shared" si="23"/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f t="shared" si="23"/>
        <v>0</v>
      </c>
      <c r="D87" s="80">
        <v>0</v>
      </c>
      <c r="E87" s="80">
        <v>0</v>
      </c>
      <c r="F87" s="80">
        <v>0</v>
      </c>
      <c r="G87" s="80">
        <f t="shared" ref="G87:G92" si="25">D87-E87</f>
        <v>0</v>
      </c>
    </row>
    <row r="88" spans="1:7" x14ac:dyDescent="0.25">
      <c r="A88" s="84" t="s">
        <v>289</v>
      </c>
      <c r="B88" s="80">
        <v>0</v>
      </c>
      <c r="C88" s="80">
        <f t="shared" si="23"/>
        <v>0</v>
      </c>
      <c r="D88" s="80">
        <v>0</v>
      </c>
      <c r="E88" s="80">
        <v>0</v>
      </c>
      <c r="F88" s="80">
        <v>0</v>
      </c>
      <c r="G88" s="80">
        <f t="shared" si="25"/>
        <v>0</v>
      </c>
    </row>
    <row r="89" spans="1:7" x14ac:dyDescent="0.25">
      <c r="A89" s="84" t="s">
        <v>290</v>
      </c>
      <c r="B89" s="80">
        <v>0</v>
      </c>
      <c r="C89" s="80">
        <f t="shared" si="23"/>
        <v>0</v>
      </c>
      <c r="D89" s="80">
        <v>0</v>
      </c>
      <c r="E89" s="80">
        <v>0</v>
      </c>
      <c r="F89" s="80">
        <v>0</v>
      </c>
      <c r="G89" s="80">
        <f t="shared" si="25"/>
        <v>0</v>
      </c>
    </row>
    <row r="90" spans="1:7" x14ac:dyDescent="0.25">
      <c r="A90" s="84" t="s">
        <v>291</v>
      </c>
      <c r="B90" s="80">
        <v>0</v>
      </c>
      <c r="C90" s="80">
        <f t="shared" si="23"/>
        <v>0</v>
      </c>
      <c r="D90" s="80">
        <v>0</v>
      </c>
      <c r="E90" s="80">
        <v>0</v>
      </c>
      <c r="F90" s="80">
        <v>0</v>
      </c>
      <c r="G90" s="80">
        <f t="shared" si="25"/>
        <v>0</v>
      </c>
    </row>
    <row r="91" spans="1:7" x14ac:dyDescent="0.25">
      <c r="A91" s="84" t="s">
        <v>292</v>
      </c>
      <c r="B91" s="80">
        <v>0</v>
      </c>
      <c r="C91" s="80">
        <f t="shared" si="23"/>
        <v>0</v>
      </c>
      <c r="D91" s="80">
        <v>0</v>
      </c>
      <c r="E91" s="80">
        <v>0</v>
      </c>
      <c r="F91" s="80">
        <v>0</v>
      </c>
      <c r="G91" s="80">
        <f t="shared" si="25"/>
        <v>0</v>
      </c>
    </row>
    <row r="92" spans="1:7" x14ac:dyDescent="0.25">
      <c r="A92" s="84" t="s">
        <v>293</v>
      </c>
      <c r="B92" s="80">
        <v>0</v>
      </c>
      <c r="C92" s="80">
        <f t="shared" si="23"/>
        <v>0</v>
      </c>
      <c r="D92" s="80">
        <v>0</v>
      </c>
      <c r="E92" s="80">
        <v>0</v>
      </c>
      <c r="F92" s="80">
        <v>0</v>
      </c>
      <c r="G92" s="80">
        <f t="shared" si="25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si="23"/>
        <v>383139.49</v>
      </c>
      <c r="D93" s="80">
        <f t="shared" ref="D93:G93" si="26">SUM(D94:D102)</f>
        <v>383139.49</v>
      </c>
      <c r="E93" s="80">
        <f t="shared" si="26"/>
        <v>383130.86</v>
      </c>
      <c r="F93" s="80">
        <f t="shared" si="26"/>
        <v>383130.86</v>
      </c>
      <c r="G93" s="80">
        <f t="shared" si="26"/>
        <v>8.6300000000046566</v>
      </c>
    </row>
    <row r="94" spans="1:7" x14ac:dyDescent="0.25">
      <c r="A94" s="84" t="s">
        <v>295</v>
      </c>
      <c r="B94" s="80">
        <v>0</v>
      </c>
      <c r="C94" s="80">
        <f t="shared" si="23"/>
        <v>202921.09</v>
      </c>
      <c r="D94" s="80">
        <f>199913.13+2466+541.96</f>
        <v>202921.09</v>
      </c>
      <c r="E94" s="80">
        <f>199913.13+2466+541.96</f>
        <v>202921.09</v>
      </c>
      <c r="F94" s="80">
        <f>199913.13+2466+541.96</f>
        <v>202921.09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f t="shared" si="23"/>
        <v>53820.18</v>
      </c>
      <c r="D95" s="80">
        <f>53820.18</f>
        <v>53820.18</v>
      </c>
      <c r="E95" s="80">
        <f>53820.18</f>
        <v>53820.18</v>
      </c>
      <c r="F95" s="80">
        <f>53820.18</f>
        <v>53820.18</v>
      </c>
      <c r="G95" s="80">
        <f t="shared" ref="G95:G102" si="27">D95-E95</f>
        <v>0</v>
      </c>
    </row>
    <row r="96" spans="1:7" x14ac:dyDescent="0.25">
      <c r="A96" s="84" t="s">
        <v>297</v>
      </c>
      <c r="B96" s="80">
        <v>0</v>
      </c>
      <c r="C96" s="80">
        <f t="shared" si="23"/>
        <v>0</v>
      </c>
      <c r="D96" s="80">
        <v>0</v>
      </c>
      <c r="E96" s="80">
        <v>0</v>
      </c>
      <c r="F96" s="80">
        <v>0</v>
      </c>
      <c r="G96" s="80">
        <f t="shared" si="27"/>
        <v>0</v>
      </c>
    </row>
    <row r="97" spans="1:7" x14ac:dyDescent="0.25">
      <c r="A97" s="84" t="s">
        <v>298</v>
      </c>
      <c r="B97" s="80">
        <v>0</v>
      </c>
      <c r="C97" s="80">
        <f t="shared" si="23"/>
        <v>92078.22</v>
      </c>
      <c r="D97" s="80">
        <v>92078.22</v>
      </c>
      <c r="E97" s="80">
        <v>92069.59</v>
      </c>
      <c r="F97" s="80">
        <v>92069.59</v>
      </c>
      <c r="G97" s="80">
        <f t="shared" si="27"/>
        <v>8.6300000000046566</v>
      </c>
    </row>
    <row r="98" spans="1:7" x14ac:dyDescent="0.25">
      <c r="A98" s="42" t="s">
        <v>299</v>
      </c>
      <c r="B98" s="80">
        <v>0</v>
      </c>
      <c r="C98" s="80">
        <f t="shared" si="23"/>
        <v>0</v>
      </c>
      <c r="D98" s="80">
        <v>0</v>
      </c>
      <c r="E98" s="80">
        <v>0</v>
      </c>
      <c r="F98" s="80">
        <v>0</v>
      </c>
      <c r="G98" s="80">
        <f t="shared" si="27"/>
        <v>0</v>
      </c>
    </row>
    <row r="99" spans="1:7" x14ac:dyDescent="0.25">
      <c r="A99" s="84" t="s">
        <v>300</v>
      </c>
      <c r="B99" s="80">
        <v>0</v>
      </c>
      <c r="C99" s="80">
        <f t="shared" si="23"/>
        <v>0</v>
      </c>
      <c r="D99" s="80">
        <v>0</v>
      </c>
      <c r="E99" s="80">
        <v>0</v>
      </c>
      <c r="F99" s="80">
        <v>0</v>
      </c>
      <c r="G99" s="80">
        <f t="shared" si="27"/>
        <v>0</v>
      </c>
    </row>
    <row r="100" spans="1:7" x14ac:dyDescent="0.25">
      <c r="A100" s="84" t="s">
        <v>301</v>
      </c>
      <c r="B100" s="80">
        <v>0</v>
      </c>
      <c r="C100" s="80">
        <f t="shared" si="23"/>
        <v>34320</v>
      </c>
      <c r="D100" s="149">
        <f>34200+120</f>
        <v>34320</v>
      </c>
      <c r="E100" s="149">
        <f t="shared" ref="E100:F100" si="28">34200+120</f>
        <v>34320</v>
      </c>
      <c r="F100" s="149">
        <f t="shared" si="28"/>
        <v>34320</v>
      </c>
      <c r="G100" s="80">
        <f t="shared" si="27"/>
        <v>0</v>
      </c>
    </row>
    <row r="101" spans="1:7" x14ac:dyDescent="0.25">
      <c r="A101" s="84" t="s">
        <v>302</v>
      </c>
      <c r="B101" s="80">
        <v>0</v>
      </c>
      <c r="C101" s="80">
        <f t="shared" si="23"/>
        <v>0</v>
      </c>
      <c r="D101" s="80">
        <v>0</v>
      </c>
      <c r="E101" s="80">
        <v>0</v>
      </c>
      <c r="F101" s="80">
        <v>0</v>
      </c>
      <c r="G101" s="80">
        <f t="shared" si="27"/>
        <v>0</v>
      </c>
    </row>
    <row r="102" spans="1:7" x14ac:dyDescent="0.25">
      <c r="A102" s="84" t="s">
        <v>303</v>
      </c>
      <c r="B102" s="80">
        <v>0</v>
      </c>
      <c r="C102" s="80">
        <f t="shared" si="23"/>
        <v>0</v>
      </c>
      <c r="D102" s="80">
        <v>0</v>
      </c>
      <c r="E102" s="80">
        <v>0</v>
      </c>
      <c r="F102" s="80">
        <v>0</v>
      </c>
      <c r="G102" s="80">
        <f t="shared" si="27"/>
        <v>0</v>
      </c>
    </row>
    <row r="103" spans="1:7" x14ac:dyDescent="0.25">
      <c r="A103" s="83" t="s">
        <v>304</v>
      </c>
      <c r="B103" s="80">
        <f>SUM(B104:B112)</f>
        <v>0</v>
      </c>
      <c r="C103" s="80">
        <f t="shared" si="23"/>
        <v>1120176.19</v>
      </c>
      <c r="D103" s="80">
        <f t="shared" ref="D103:G103" si="29">SUM(D104:D112)</f>
        <v>1120176.19</v>
      </c>
      <c r="E103" s="80">
        <f t="shared" si="29"/>
        <v>1043822.49</v>
      </c>
      <c r="F103" s="80">
        <f t="shared" si="29"/>
        <v>1043822.49</v>
      </c>
      <c r="G103" s="80">
        <f t="shared" si="29"/>
        <v>76353.7</v>
      </c>
    </row>
    <row r="104" spans="1:7" x14ac:dyDescent="0.25">
      <c r="A104" s="84" t="s">
        <v>305</v>
      </c>
      <c r="B104" s="80">
        <v>0</v>
      </c>
      <c r="C104" s="80">
        <f t="shared" si="23"/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30">D105-E105</f>
        <v>0</v>
      </c>
    </row>
    <row r="106" spans="1:7" x14ac:dyDescent="0.25">
      <c r="A106" s="84" t="s">
        <v>307</v>
      </c>
      <c r="B106" s="80">
        <v>0</v>
      </c>
      <c r="C106" s="80">
        <f t="shared" si="23"/>
        <v>366114.25</v>
      </c>
      <c r="D106" s="80">
        <f>174000+189329.55+2784.7</f>
        <v>366114.25</v>
      </c>
      <c r="E106" s="80">
        <f>52200+189329.55+2784.7+65747.69</f>
        <v>310061.94</v>
      </c>
      <c r="F106" s="80">
        <f>52200+189329.55+2784.7+65747.69</f>
        <v>310061.94</v>
      </c>
      <c r="G106" s="80">
        <f t="shared" si="30"/>
        <v>56052.31</v>
      </c>
    </row>
    <row r="107" spans="1:7" x14ac:dyDescent="0.25">
      <c r="A107" s="84" t="s">
        <v>308</v>
      </c>
      <c r="B107" s="80">
        <v>0</v>
      </c>
      <c r="C107" s="80">
        <f t="shared" si="23"/>
        <v>0</v>
      </c>
      <c r="D107" s="80">
        <v>0</v>
      </c>
      <c r="E107" s="80">
        <v>0</v>
      </c>
      <c r="F107" s="80">
        <v>0</v>
      </c>
      <c r="G107" s="80">
        <f t="shared" si="30"/>
        <v>0</v>
      </c>
    </row>
    <row r="108" spans="1:7" x14ac:dyDescent="0.25">
      <c r="A108" s="84" t="s">
        <v>309</v>
      </c>
      <c r="B108" s="80">
        <v>0</v>
      </c>
      <c r="C108" s="80">
        <f t="shared" si="23"/>
        <v>754006.26</v>
      </c>
      <c r="D108" s="80">
        <f>424899.56+97440+8928.52+222738.18</f>
        <v>754006.26</v>
      </c>
      <c r="E108" s="80">
        <f>424899.56+77140+8928.52+222738.18</f>
        <v>733706.26</v>
      </c>
      <c r="F108" s="80">
        <f>424899.56+77140+8928.52+222738.18</f>
        <v>733706.26</v>
      </c>
      <c r="G108" s="80">
        <f>D108-E108</f>
        <v>20300</v>
      </c>
    </row>
    <row r="109" spans="1:7" x14ac:dyDescent="0.25">
      <c r="A109" s="84" t="s">
        <v>310</v>
      </c>
      <c r="B109" s="80">
        <v>0</v>
      </c>
      <c r="C109" s="80">
        <f t="shared" si="23"/>
        <v>0</v>
      </c>
      <c r="D109" s="80">
        <v>0</v>
      </c>
      <c r="E109" s="80">
        <v>0</v>
      </c>
      <c r="F109" s="80">
        <v>0</v>
      </c>
      <c r="G109" s="80">
        <f t="shared" si="30"/>
        <v>0</v>
      </c>
    </row>
    <row r="110" spans="1:7" x14ac:dyDescent="0.25">
      <c r="A110" s="84" t="s">
        <v>311</v>
      </c>
      <c r="B110" s="80">
        <v>0</v>
      </c>
      <c r="C110" s="80">
        <f t="shared" si="23"/>
        <v>0</v>
      </c>
      <c r="D110" s="80">
        <v>0</v>
      </c>
      <c r="E110" s="80">
        <v>0</v>
      </c>
      <c r="F110" s="80">
        <v>0</v>
      </c>
      <c r="G110" s="80">
        <f t="shared" si="30"/>
        <v>0</v>
      </c>
    </row>
    <row r="111" spans="1:7" x14ac:dyDescent="0.25">
      <c r="A111" s="84" t="s">
        <v>312</v>
      </c>
      <c r="B111" s="80">
        <v>0</v>
      </c>
      <c r="C111" s="80">
        <f t="shared" si="23"/>
        <v>0</v>
      </c>
      <c r="D111" s="80">
        <v>0</v>
      </c>
      <c r="E111" s="80">
        <v>0</v>
      </c>
      <c r="F111" s="80">
        <v>0</v>
      </c>
      <c r="G111" s="80">
        <f t="shared" si="30"/>
        <v>0</v>
      </c>
    </row>
    <row r="112" spans="1:7" x14ac:dyDescent="0.25">
      <c r="A112" s="84" t="s">
        <v>313</v>
      </c>
      <c r="B112" s="80">
        <v>0</v>
      </c>
      <c r="C112" s="80">
        <f t="shared" si="23"/>
        <v>55.68</v>
      </c>
      <c r="D112" s="80">
        <v>55.68</v>
      </c>
      <c r="E112" s="80">
        <v>54.29</v>
      </c>
      <c r="F112" s="80">
        <v>54.29</v>
      </c>
      <c r="G112" s="80">
        <f t="shared" si="30"/>
        <v>1.3900000000000006</v>
      </c>
    </row>
    <row r="113" spans="1:7" x14ac:dyDescent="0.25">
      <c r="A113" s="83" t="s">
        <v>314</v>
      </c>
      <c r="B113" s="80">
        <f>SUM(B114:B122)</f>
        <v>0</v>
      </c>
      <c r="C113" s="80">
        <f t="shared" si="23"/>
        <v>82060</v>
      </c>
      <c r="D113" s="80">
        <f t="shared" ref="D113:G113" si="31">SUM(D114:D122)</f>
        <v>82060</v>
      </c>
      <c r="E113" s="80">
        <f t="shared" si="31"/>
        <v>82060</v>
      </c>
      <c r="F113" s="80">
        <f t="shared" si="31"/>
        <v>82060</v>
      </c>
      <c r="G113" s="80">
        <f t="shared" si="31"/>
        <v>0</v>
      </c>
    </row>
    <row r="114" spans="1:7" x14ac:dyDescent="0.25">
      <c r="A114" s="84" t="s">
        <v>315</v>
      </c>
      <c r="B114" s="80">
        <v>0</v>
      </c>
      <c r="C114" s="80">
        <f t="shared" si="23"/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f t="shared" si="23"/>
        <v>0</v>
      </c>
      <c r="D115" s="80">
        <v>0</v>
      </c>
      <c r="E115" s="80">
        <v>0</v>
      </c>
      <c r="F115" s="80">
        <v>0</v>
      </c>
      <c r="G115" s="80">
        <f t="shared" ref="G115:G122" si="32">D115-E115</f>
        <v>0</v>
      </c>
    </row>
    <row r="116" spans="1:7" x14ac:dyDescent="0.25">
      <c r="A116" s="84" t="s">
        <v>317</v>
      </c>
      <c r="B116" s="80">
        <v>0</v>
      </c>
      <c r="C116" s="80">
        <f t="shared" si="23"/>
        <v>0</v>
      </c>
      <c r="D116" s="80">
        <v>0</v>
      </c>
      <c r="E116" s="80">
        <v>0</v>
      </c>
      <c r="F116" s="80">
        <v>0</v>
      </c>
      <c r="G116" s="80">
        <f t="shared" si="32"/>
        <v>0</v>
      </c>
    </row>
    <row r="117" spans="1:7" x14ac:dyDescent="0.25">
      <c r="A117" s="84" t="s">
        <v>318</v>
      </c>
      <c r="B117" s="80">
        <v>0</v>
      </c>
      <c r="C117" s="80">
        <f t="shared" si="23"/>
        <v>82060</v>
      </c>
      <c r="D117" s="80">
        <v>82060</v>
      </c>
      <c r="E117" s="80">
        <v>82060</v>
      </c>
      <c r="F117" s="80">
        <v>82060</v>
      </c>
      <c r="G117" s="80">
        <f t="shared" si="32"/>
        <v>0</v>
      </c>
    </row>
    <row r="118" spans="1:7" x14ac:dyDescent="0.25">
      <c r="A118" s="84" t="s">
        <v>319</v>
      </c>
      <c r="B118" s="80">
        <v>0</v>
      </c>
      <c r="C118" s="80">
        <f t="shared" si="23"/>
        <v>0</v>
      </c>
      <c r="D118" s="80">
        <v>0</v>
      </c>
      <c r="E118" s="80">
        <v>0</v>
      </c>
      <c r="F118" s="80">
        <v>0</v>
      </c>
      <c r="G118" s="80">
        <f t="shared" si="32"/>
        <v>0</v>
      </c>
    </row>
    <row r="119" spans="1:7" x14ac:dyDescent="0.25">
      <c r="A119" s="84" t="s">
        <v>320</v>
      </c>
      <c r="B119" s="80">
        <v>0</v>
      </c>
      <c r="C119" s="80">
        <f t="shared" si="23"/>
        <v>0</v>
      </c>
      <c r="D119" s="80">
        <v>0</v>
      </c>
      <c r="E119" s="80">
        <v>0</v>
      </c>
      <c r="F119" s="80">
        <v>0</v>
      </c>
      <c r="G119" s="80">
        <f t="shared" si="32"/>
        <v>0</v>
      </c>
    </row>
    <row r="120" spans="1:7" x14ac:dyDescent="0.25">
      <c r="A120" s="84" t="s">
        <v>321</v>
      </c>
      <c r="B120" s="80">
        <v>0</v>
      </c>
      <c r="C120" s="80">
        <f t="shared" si="23"/>
        <v>0</v>
      </c>
      <c r="D120" s="80">
        <v>0</v>
      </c>
      <c r="E120" s="80">
        <v>0</v>
      </c>
      <c r="F120" s="80">
        <v>0</v>
      </c>
      <c r="G120" s="80">
        <f t="shared" si="32"/>
        <v>0</v>
      </c>
    </row>
    <row r="121" spans="1:7" x14ac:dyDescent="0.25">
      <c r="A121" s="84" t="s">
        <v>322</v>
      </c>
      <c r="B121" s="80">
        <v>0</v>
      </c>
      <c r="C121" s="80">
        <f t="shared" si="23"/>
        <v>0</v>
      </c>
      <c r="D121" s="80">
        <v>0</v>
      </c>
      <c r="E121" s="80">
        <v>0</v>
      </c>
      <c r="F121" s="80">
        <v>0</v>
      </c>
      <c r="G121" s="80">
        <f t="shared" si="32"/>
        <v>0</v>
      </c>
    </row>
    <row r="122" spans="1:7" x14ac:dyDescent="0.25">
      <c r="A122" s="84" t="s">
        <v>323</v>
      </c>
      <c r="B122" s="80">
        <v>0</v>
      </c>
      <c r="C122" s="80">
        <f t="shared" si="23"/>
        <v>0</v>
      </c>
      <c r="D122" s="80">
        <v>0</v>
      </c>
      <c r="E122" s="80">
        <v>0</v>
      </c>
      <c r="F122" s="80">
        <v>0</v>
      </c>
      <c r="G122" s="80">
        <f t="shared" si="32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si="23"/>
        <v>43730.48</v>
      </c>
      <c r="D123" s="80">
        <f t="shared" ref="D123:G123" si="33">SUM(D124:D132)</f>
        <v>43730.48</v>
      </c>
      <c r="E123" s="80">
        <f t="shared" si="33"/>
        <v>43730.48</v>
      </c>
      <c r="F123" s="80">
        <f t="shared" si="33"/>
        <v>43730.48</v>
      </c>
      <c r="G123" s="80">
        <f t="shared" si="33"/>
        <v>0</v>
      </c>
    </row>
    <row r="124" spans="1:7" x14ac:dyDescent="0.25">
      <c r="A124" s="84" t="s">
        <v>325</v>
      </c>
      <c r="B124" s="80">
        <v>0</v>
      </c>
      <c r="C124" s="80">
        <f t="shared" si="23"/>
        <v>43730.48</v>
      </c>
      <c r="D124" s="80">
        <f>14370.08+29360.4</f>
        <v>43730.48</v>
      </c>
      <c r="E124" s="80">
        <f t="shared" ref="E124:F124" si="34">14370.08+29360.4</f>
        <v>43730.48</v>
      </c>
      <c r="F124" s="80">
        <f t="shared" si="34"/>
        <v>43730.48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f t="shared" si="23"/>
        <v>0</v>
      </c>
      <c r="D125" s="80">
        <v>0</v>
      </c>
      <c r="E125" s="80">
        <v>0</v>
      </c>
      <c r="F125" s="80">
        <v>0</v>
      </c>
      <c r="G125" s="80">
        <f t="shared" ref="G125:G132" si="35">D125-E125</f>
        <v>0</v>
      </c>
    </row>
    <row r="126" spans="1:7" x14ac:dyDescent="0.25">
      <c r="A126" s="84" t="s">
        <v>327</v>
      </c>
      <c r="B126" s="80">
        <v>0</v>
      </c>
      <c r="C126" s="80">
        <f t="shared" si="23"/>
        <v>0</v>
      </c>
      <c r="D126" s="80">
        <v>0</v>
      </c>
      <c r="E126" s="80">
        <v>0</v>
      </c>
      <c r="F126" s="80">
        <v>0</v>
      </c>
      <c r="G126" s="80">
        <f t="shared" si="35"/>
        <v>0</v>
      </c>
    </row>
    <row r="127" spans="1:7" x14ac:dyDescent="0.25">
      <c r="A127" s="84" t="s">
        <v>328</v>
      </c>
      <c r="B127" s="80">
        <v>0</v>
      </c>
      <c r="C127" s="80">
        <f t="shared" si="23"/>
        <v>0</v>
      </c>
      <c r="D127" s="80">
        <v>0</v>
      </c>
      <c r="E127" s="80">
        <v>0</v>
      </c>
      <c r="F127" s="80">
        <v>0</v>
      </c>
      <c r="G127" s="80">
        <f t="shared" si="35"/>
        <v>0</v>
      </c>
    </row>
    <row r="128" spans="1:7" x14ac:dyDescent="0.25">
      <c r="A128" s="84" t="s">
        <v>329</v>
      </c>
      <c r="B128" s="80">
        <v>0</v>
      </c>
      <c r="C128" s="80">
        <f t="shared" si="23"/>
        <v>0</v>
      </c>
      <c r="D128" s="80">
        <v>0</v>
      </c>
      <c r="E128" s="80">
        <v>0</v>
      </c>
      <c r="F128" s="80">
        <v>0</v>
      </c>
      <c r="G128" s="80">
        <f t="shared" si="35"/>
        <v>0</v>
      </c>
    </row>
    <row r="129" spans="1:7" x14ac:dyDescent="0.25">
      <c r="A129" s="84" t="s">
        <v>330</v>
      </c>
      <c r="B129" s="80">
        <v>0</v>
      </c>
      <c r="C129" s="80">
        <f t="shared" si="23"/>
        <v>0</v>
      </c>
      <c r="D129" s="80">
        <v>0</v>
      </c>
      <c r="E129" s="80">
        <v>0</v>
      </c>
      <c r="F129" s="80">
        <v>0</v>
      </c>
      <c r="G129" s="80">
        <f t="shared" si="35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35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35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35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6">SUM(C134:C136)</f>
        <v>0</v>
      </c>
      <c r="D133" s="80">
        <f t="shared" si="36"/>
        <v>0</v>
      </c>
      <c r="E133" s="80">
        <f t="shared" si="36"/>
        <v>0</v>
      </c>
      <c r="F133" s="80">
        <f t="shared" si="36"/>
        <v>0</v>
      </c>
      <c r="G133" s="80">
        <f t="shared" si="36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7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7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8">SUM(C138:C142,C144:C145)</f>
        <v>0</v>
      </c>
      <c r="D137" s="80">
        <f t="shared" si="38"/>
        <v>0</v>
      </c>
      <c r="E137" s="80">
        <f t="shared" si="38"/>
        <v>0</v>
      </c>
      <c r="F137" s="80">
        <f t="shared" si="38"/>
        <v>0</v>
      </c>
      <c r="G137" s="80">
        <f t="shared" si="38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9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9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9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9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9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9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9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0">SUM(C147:C149)</f>
        <v>0</v>
      </c>
      <c r="D146" s="80">
        <f t="shared" si="40"/>
        <v>0</v>
      </c>
      <c r="E146" s="80">
        <f t="shared" si="40"/>
        <v>0</v>
      </c>
      <c r="F146" s="80">
        <f t="shared" si="40"/>
        <v>0</v>
      </c>
      <c r="G146" s="80">
        <f t="shared" si="40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41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41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2">SUM(C151:C157)</f>
        <v>0</v>
      </c>
      <c r="D150" s="80">
        <f t="shared" si="42"/>
        <v>0</v>
      </c>
      <c r="E150" s="80">
        <f t="shared" si="42"/>
        <v>0</v>
      </c>
      <c r="F150" s="80">
        <f t="shared" si="42"/>
        <v>0</v>
      </c>
      <c r="G150" s="80">
        <f t="shared" si="42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43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43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43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43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43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4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129403049.36000003</v>
      </c>
      <c r="C159" s="79">
        <f t="shared" ref="C159:F159" si="44">C9+C84</f>
        <v>1900945.7699999996</v>
      </c>
      <c r="D159" s="79">
        <f t="shared" si="44"/>
        <v>131303995.13</v>
      </c>
      <c r="E159" s="79">
        <f t="shared" si="44"/>
        <v>30136094.310000002</v>
      </c>
      <c r="F159" s="79">
        <f t="shared" si="44"/>
        <v>30073583.050000004</v>
      </c>
      <c r="G159" s="79">
        <f>G9+G84</f>
        <v>101167900.82000001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47244094488188981" right="0.31496062992125984" top="0.43307086614173229" bottom="0.47244094488188981" header="0.31496062992125984" footer="0.31496062992125984"/>
  <pageSetup paperSize="9" scale="62" fitToHeight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129403049.36000003</v>
      </c>
      <c r="Q2" s="18">
        <f>'Formato 6 a)'!C9</f>
        <v>271839.60999999958</v>
      </c>
      <c r="R2" s="18">
        <f>'Formato 6 a)'!D9</f>
        <v>129674888.97</v>
      </c>
      <c r="S2" s="18">
        <f>'Formato 6 a)'!E9</f>
        <v>28583350.48</v>
      </c>
      <c r="T2" s="18">
        <f>'Formato 6 a)'!F9</f>
        <v>28520839.220000003</v>
      </c>
      <c r="U2" s="18">
        <f>'Formato 6 a)'!G9</f>
        <v>101091538.49000001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105767915.19000001</v>
      </c>
      <c r="Q3" s="18">
        <f>'Formato 6 a)'!C10</f>
        <v>0</v>
      </c>
      <c r="R3" s="18">
        <f>'Formato 6 a)'!D10</f>
        <v>105767915.19</v>
      </c>
      <c r="S3" s="18">
        <f>'Formato 6 a)'!E10</f>
        <v>24674210.27</v>
      </c>
      <c r="T3" s="18">
        <f>'Formato 6 a)'!F10</f>
        <v>24674210.27</v>
      </c>
      <c r="U3" s="18">
        <f>'Formato 6 a)'!G10</f>
        <v>81093704.920000002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67479426.000000015</v>
      </c>
      <c r="Q4" s="18">
        <f>'Formato 6 a)'!C11</f>
        <v>0</v>
      </c>
      <c r="R4" s="18">
        <f>'Formato 6 a)'!D11</f>
        <v>67479426</v>
      </c>
      <c r="S4" s="18">
        <f>'Formato 6 a)'!E11</f>
        <v>16797667.68</v>
      </c>
      <c r="T4" s="18">
        <f>'Formato 6 a)'!F11</f>
        <v>16797667.68</v>
      </c>
      <c r="U4" s="18">
        <f>'Formato 6 a)'!G11</f>
        <v>50681758.32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9648982.120000001</v>
      </c>
      <c r="Q6" s="18">
        <f>'Formato 6 a)'!C13</f>
        <v>0</v>
      </c>
      <c r="R6" s="18">
        <f>'Formato 6 a)'!D13</f>
        <v>9648982.120000001</v>
      </c>
      <c r="S6" s="18">
        <f>'Formato 6 a)'!E13</f>
        <v>2341505.98</v>
      </c>
      <c r="T6" s="18">
        <f>'Formato 6 a)'!F13</f>
        <v>2341505.98</v>
      </c>
      <c r="U6" s="18">
        <f>'Formato 6 a)'!G13</f>
        <v>7307476.1400000006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17772101.300000001</v>
      </c>
      <c r="Q7" s="18">
        <f>'Formato 6 a)'!C14</f>
        <v>0</v>
      </c>
      <c r="R7" s="18">
        <f>'Formato 6 a)'!D14</f>
        <v>17772101.300000001</v>
      </c>
      <c r="S7" s="18">
        <f>'Formato 6 a)'!E14</f>
        <v>3612148.95</v>
      </c>
      <c r="T7" s="18">
        <f>'Formato 6 a)'!F14</f>
        <v>3612148.95</v>
      </c>
      <c r="U7" s="18">
        <f>'Formato 6 a)'!G14</f>
        <v>14159952.350000001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10867405.770000001</v>
      </c>
      <c r="Q8" s="18">
        <f>'Formato 6 a)'!C15</f>
        <v>0</v>
      </c>
      <c r="R8" s="18">
        <f>'Formato 6 a)'!D15</f>
        <v>10867405.770000001</v>
      </c>
      <c r="S8" s="18">
        <f>'Formato 6 a)'!E15</f>
        <v>1922887.6600000001</v>
      </c>
      <c r="T8" s="18">
        <f>'Formato 6 a)'!F15</f>
        <v>1922887.6600000001</v>
      </c>
      <c r="U8" s="18">
        <f>'Formato 6 a)'!G15</f>
        <v>8944518.1100000013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3735001.8699999996</v>
      </c>
      <c r="Q11" s="18">
        <f>'Formato 6 a)'!C18</f>
        <v>236213.95</v>
      </c>
      <c r="R11" s="18">
        <f>'Formato 6 a)'!D18</f>
        <v>3971215.8200000003</v>
      </c>
      <c r="S11" s="18">
        <f>'Formato 6 a)'!E18</f>
        <v>954526.27999999991</v>
      </c>
      <c r="T11" s="18">
        <f>'Formato 6 a)'!F18</f>
        <v>954526.27999999991</v>
      </c>
      <c r="U11" s="18">
        <f>'Formato 6 a)'!G18</f>
        <v>3016689.54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699397.64999999967</v>
      </c>
      <c r="Q12" s="18">
        <f>'Formato 6 a)'!C19</f>
        <v>25131.350000000326</v>
      </c>
      <c r="R12" s="18">
        <f>'Formato 6 a)'!D19</f>
        <v>724529</v>
      </c>
      <c r="S12" s="18">
        <f>'Formato 6 a)'!E19</f>
        <v>292816.25</v>
      </c>
      <c r="T12" s="18">
        <f>'Formato 6 a)'!F19</f>
        <v>292816.25</v>
      </c>
      <c r="U12" s="18">
        <f>'Formato 6 a)'!G19</f>
        <v>431712.75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669089.2300000001</v>
      </c>
      <c r="Q13" s="18">
        <f>'Formato 6 a)'!C20</f>
        <v>167876.3899999999</v>
      </c>
      <c r="R13" s="18">
        <f>'Formato 6 a)'!D20</f>
        <v>836965.62</v>
      </c>
      <c r="S13" s="18">
        <f>'Formato 6 a)'!E20</f>
        <v>175394.88</v>
      </c>
      <c r="T13" s="18">
        <f>'Formato 6 a)'!F20</f>
        <v>175394.88</v>
      </c>
      <c r="U13" s="18">
        <f>'Formato 6 a)'!G20</f>
        <v>661570.74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426886.32000000012</v>
      </c>
      <c r="Q15" s="18">
        <f>'Formato 6 a)'!C22</f>
        <v>3504.9999999998254</v>
      </c>
      <c r="R15" s="18">
        <f>'Formato 6 a)'!D22</f>
        <v>430391.31999999995</v>
      </c>
      <c r="S15" s="18">
        <f>'Formato 6 a)'!E22</f>
        <v>128392.12</v>
      </c>
      <c r="T15" s="18">
        <f>'Formato 6 a)'!F22</f>
        <v>128392.12</v>
      </c>
      <c r="U15" s="18">
        <f>'Formato 6 a)'!G22</f>
        <v>301999.19999999995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63468.240000000005</v>
      </c>
      <c r="Q16" s="18">
        <f>'Formato 6 a)'!C23</f>
        <v>-2500.0000000000073</v>
      </c>
      <c r="R16" s="18">
        <f>'Formato 6 a)'!D23</f>
        <v>60968.24</v>
      </c>
      <c r="S16" s="18">
        <f>'Formato 6 a)'!E23</f>
        <v>114</v>
      </c>
      <c r="T16" s="18">
        <f>'Formato 6 a)'!F23</f>
        <v>114</v>
      </c>
      <c r="U16" s="18">
        <f>'Formato 6 a)'!G23</f>
        <v>60854.239999999998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1521651.81</v>
      </c>
      <c r="Q17" s="18">
        <f>'Formato 6 a)'!C24</f>
        <v>0</v>
      </c>
      <c r="R17" s="18">
        <f>'Formato 6 a)'!D24</f>
        <v>1521651.81</v>
      </c>
      <c r="S17" s="18">
        <f>'Formato 6 a)'!E24</f>
        <v>282776.46000000002</v>
      </c>
      <c r="T17" s="18">
        <f>'Formato 6 a)'!F24</f>
        <v>282776.46000000002</v>
      </c>
      <c r="U17" s="18">
        <f>'Formato 6 a)'!G24</f>
        <v>1238875.3500000001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244682.07</v>
      </c>
      <c r="Q18" s="18">
        <f>'Formato 6 a)'!C25</f>
        <v>69.989999999990687</v>
      </c>
      <c r="R18" s="18">
        <f>'Formato 6 a)'!D25</f>
        <v>244752.06</v>
      </c>
      <c r="S18" s="18">
        <f>'Formato 6 a)'!E25</f>
        <v>8371.989999999998</v>
      </c>
      <c r="T18" s="18">
        <f>'Formato 6 a)'!F25</f>
        <v>8371.989999999998</v>
      </c>
      <c r="U18" s="18">
        <f>'Formato 6 a)'!G25</f>
        <v>236380.07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109826.55000000003</v>
      </c>
      <c r="Q20" s="18">
        <f>'Formato 6 a)'!C27</f>
        <v>42131.219999999958</v>
      </c>
      <c r="R20" s="18">
        <f>'Formato 6 a)'!D27</f>
        <v>151957.76999999999</v>
      </c>
      <c r="S20" s="18">
        <f>'Formato 6 a)'!E27</f>
        <v>66660.58</v>
      </c>
      <c r="T20" s="18">
        <f>'Formato 6 a)'!F27</f>
        <v>66660.58</v>
      </c>
      <c r="U20" s="18">
        <f>'Formato 6 a)'!G27</f>
        <v>85297.189999999988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14359175.84</v>
      </c>
      <c r="Q21" s="18">
        <f>'Formato 6 a)'!C28</f>
        <v>19933.399999999594</v>
      </c>
      <c r="R21" s="18">
        <f>'Formato 6 a)'!D28</f>
        <v>14379109.24</v>
      </c>
      <c r="S21" s="18">
        <f>'Formato 6 a)'!E28</f>
        <v>2091680.54</v>
      </c>
      <c r="T21" s="18">
        <f>'Formato 6 a)'!F28</f>
        <v>2051494.2799999998</v>
      </c>
      <c r="U21" s="18">
        <f>'Formato 6 a)'!G28</f>
        <v>12287428.700000001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1246230.4500000002</v>
      </c>
      <c r="Q22" s="18">
        <f>'Formato 6 a)'!C29</f>
        <v>-2000.0000000002328</v>
      </c>
      <c r="R22" s="18">
        <f>'Formato 6 a)'!D29</f>
        <v>1244230.45</v>
      </c>
      <c r="S22" s="18">
        <f>'Formato 6 a)'!E29</f>
        <v>403576.01</v>
      </c>
      <c r="T22" s="18">
        <f>'Formato 6 a)'!F29</f>
        <v>403576.00999999989</v>
      </c>
      <c r="U22" s="18">
        <f>'Formato 6 a)'!G29</f>
        <v>840654.44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38915.189999999995</v>
      </c>
      <c r="Q23" s="18">
        <f>'Formato 6 a)'!C30</f>
        <v>1000.0000000000073</v>
      </c>
      <c r="R23" s="18">
        <f>'Formato 6 a)'!D30</f>
        <v>39915.19</v>
      </c>
      <c r="S23" s="18">
        <f>'Formato 6 a)'!E30</f>
        <v>18870.080000000002</v>
      </c>
      <c r="T23" s="18">
        <f>'Formato 6 a)'!F30</f>
        <v>18870.079999999998</v>
      </c>
      <c r="U23" s="18">
        <f>'Formato 6 a)'!G30</f>
        <v>21045.11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5293094.4300000006</v>
      </c>
      <c r="Q24" s="18">
        <f>'Formato 6 a)'!C31</f>
        <v>56994.299999999814</v>
      </c>
      <c r="R24" s="18">
        <f>'Formato 6 a)'!D31</f>
        <v>5350088.7300000004</v>
      </c>
      <c r="S24" s="18">
        <f>'Formato 6 a)'!E31</f>
        <v>785649.89000000013</v>
      </c>
      <c r="T24" s="18">
        <f>'Formato 6 a)'!F31</f>
        <v>773883.63000000012</v>
      </c>
      <c r="U24" s="18">
        <f>'Formato 6 a)'!G31</f>
        <v>4564438.84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267017.75</v>
      </c>
      <c r="Q25" s="18">
        <f>'Formato 6 a)'!C32</f>
        <v>-5500</v>
      </c>
      <c r="R25" s="18">
        <f>'Formato 6 a)'!D32</f>
        <v>261517.75</v>
      </c>
      <c r="S25" s="18">
        <f>'Formato 6 a)'!E32</f>
        <v>18544.099999999999</v>
      </c>
      <c r="T25" s="18">
        <f>'Formato 6 a)'!F32</f>
        <v>18544.099999999999</v>
      </c>
      <c r="U25" s="18">
        <f>'Formato 6 a)'!G32</f>
        <v>242973.65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4038281.61</v>
      </c>
      <c r="Q26" s="18">
        <f>'Formato 6 a)'!C33</f>
        <v>-25999.999999999534</v>
      </c>
      <c r="R26" s="18">
        <f>'Formato 6 a)'!D33</f>
        <v>4012281.6100000003</v>
      </c>
      <c r="S26" s="18">
        <f>'Formato 6 a)'!E33</f>
        <v>150659.57999999996</v>
      </c>
      <c r="T26" s="18">
        <f>'Formato 6 a)'!F33</f>
        <v>122239.57999999996</v>
      </c>
      <c r="U26" s="18">
        <f>'Formato 6 a)'!G33</f>
        <v>3861622.0300000003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192513.45</v>
      </c>
      <c r="Q27" s="18">
        <f>'Formato 6 a)'!C34</f>
        <v>-38000</v>
      </c>
      <c r="R27" s="18">
        <f>'Formato 6 a)'!D34</f>
        <v>154513.45000000001</v>
      </c>
      <c r="S27" s="18">
        <f>'Formato 6 a)'!E34</f>
        <v>39193.760000000002</v>
      </c>
      <c r="T27" s="18">
        <f>'Formato 6 a)'!F34</f>
        <v>39193.759999999995</v>
      </c>
      <c r="U27" s="18">
        <f>'Formato 6 a)'!G34</f>
        <v>115319.69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186737.88999999998</v>
      </c>
      <c r="Q28" s="18">
        <f>'Formato 6 a)'!C35</f>
        <v>12500.000000000029</v>
      </c>
      <c r="R28" s="18">
        <f>'Formato 6 a)'!D35</f>
        <v>199237.89</v>
      </c>
      <c r="S28" s="18">
        <f>'Formato 6 a)'!E35</f>
        <v>40948</v>
      </c>
      <c r="T28" s="18">
        <f>'Formato 6 a)'!F35</f>
        <v>40948</v>
      </c>
      <c r="U28" s="18">
        <f>'Formato 6 a)'!G35</f>
        <v>158289.89000000001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2054760.5100000005</v>
      </c>
      <c r="Q29" s="18">
        <f>'Formato 6 a)'!C36</f>
        <v>-3200.0000000004657</v>
      </c>
      <c r="R29" s="18">
        <f>'Formato 6 a)'!D36</f>
        <v>2051560.51</v>
      </c>
      <c r="S29" s="18">
        <f>'Formato 6 a)'!E36</f>
        <v>176022.46</v>
      </c>
      <c r="T29" s="18">
        <f>'Formato 6 a)'!F36</f>
        <v>176022.46</v>
      </c>
      <c r="U29" s="18">
        <f>'Formato 6 a)'!G36</f>
        <v>1875538.05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1041624.5600000002</v>
      </c>
      <c r="Q30" s="18">
        <f>'Formato 6 a)'!C37</f>
        <v>24139.099999999977</v>
      </c>
      <c r="R30" s="18">
        <f>'Formato 6 a)'!D37</f>
        <v>1065763.6600000001</v>
      </c>
      <c r="S30" s="18">
        <f>'Formato 6 a)'!E37</f>
        <v>458216.66000000003</v>
      </c>
      <c r="T30" s="18">
        <f>'Formato 6 a)'!F37</f>
        <v>458216.66000000003</v>
      </c>
      <c r="U30" s="18">
        <f>'Formato 6 a)'!G37</f>
        <v>607547.00000000012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5415822.8200000003</v>
      </c>
      <c r="Q31" s="18">
        <f>'Formato 6 a)'!C38</f>
        <v>0</v>
      </c>
      <c r="R31" s="18">
        <f>'Formato 6 a)'!D38</f>
        <v>5415822.8200000003</v>
      </c>
      <c r="S31" s="18">
        <f>'Formato 6 a)'!E38</f>
        <v>764917.43</v>
      </c>
      <c r="T31" s="18">
        <f>'Formato 6 a)'!F38</f>
        <v>742592.43</v>
      </c>
      <c r="U31" s="18">
        <f>'Formato 6 a)'!G38</f>
        <v>4650905.3900000006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5415822.8200000003</v>
      </c>
      <c r="Q34" s="18">
        <f>'Formato 6 a)'!C41</f>
        <v>0</v>
      </c>
      <c r="R34" s="18">
        <f>'Formato 6 a)'!D41</f>
        <v>5415822.8200000003</v>
      </c>
      <c r="S34" s="18">
        <f>'Formato 6 a)'!E41</f>
        <v>764917.43</v>
      </c>
      <c r="T34" s="18">
        <f>'Formato 6 a)'!F41</f>
        <v>742592.43</v>
      </c>
      <c r="U34" s="18">
        <f>'Formato 6 a)'!G41</f>
        <v>4650905.3900000006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125133.64</v>
      </c>
      <c r="Q41" s="18">
        <f>'Formato 6 a)'!C48</f>
        <v>15692.259999999987</v>
      </c>
      <c r="R41" s="18">
        <f>'Formato 6 a)'!D48</f>
        <v>140825.9</v>
      </c>
      <c r="S41" s="18">
        <f>'Formato 6 a)'!E48</f>
        <v>98015.959999999992</v>
      </c>
      <c r="T41" s="18">
        <f>'Formato 6 a)'!F48</f>
        <v>98015.959999999992</v>
      </c>
      <c r="U41" s="18">
        <f>'Formato 6 a)'!G48</f>
        <v>42809.94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73796.740000000005</v>
      </c>
      <c r="Q42" s="18">
        <f>'Formato 6 a)'!C49</f>
        <v>18184.969999999987</v>
      </c>
      <c r="R42" s="18">
        <f>'Formato 6 a)'!D49</f>
        <v>91981.709999999992</v>
      </c>
      <c r="S42" s="18">
        <f>'Formato 6 a)'!E49</f>
        <v>85034.959999999992</v>
      </c>
      <c r="T42" s="18">
        <f>'Formato 6 a)'!F49</f>
        <v>85034.959999999992</v>
      </c>
      <c r="U42" s="18">
        <f>'Formato 6 a)'!G49</f>
        <v>6946.75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25668.46</v>
      </c>
      <c r="Q44" s="18">
        <f>'Formato 6 a)'!C51</f>
        <v>-9900</v>
      </c>
      <c r="R44" s="18">
        <f>'Formato 6 a)'!D51</f>
        <v>15768.46</v>
      </c>
      <c r="S44" s="18">
        <f>'Formato 6 a)'!E51</f>
        <v>0</v>
      </c>
      <c r="T44" s="18">
        <f>'Formato 6 a)'!F51</f>
        <v>0</v>
      </c>
      <c r="U44" s="18">
        <f>'Formato 6 a)'!G51</f>
        <v>15768.46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12834.21</v>
      </c>
      <c r="Q47" s="18">
        <f>'Formato 6 a)'!C54</f>
        <v>7407.2900000000009</v>
      </c>
      <c r="R47" s="18">
        <f>'Formato 6 a)'!D54</f>
        <v>20241.5</v>
      </c>
      <c r="S47" s="18">
        <f>'Formato 6 a)'!E54</f>
        <v>12981</v>
      </c>
      <c r="T47" s="18">
        <f>'Formato 6 a)'!F54</f>
        <v>12981</v>
      </c>
      <c r="U47" s="18">
        <f>'Formato 6 a)'!G54</f>
        <v>7260.5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12834.23</v>
      </c>
      <c r="Q50" s="18">
        <f>'Formato 6 a)'!C57</f>
        <v>0</v>
      </c>
      <c r="R50" s="18">
        <f>'Formato 6 a)'!D57</f>
        <v>12834.23</v>
      </c>
      <c r="S50" s="18">
        <f>'Formato 6 a)'!E57</f>
        <v>0</v>
      </c>
      <c r="T50" s="18">
        <f>'Formato 6 a)'!F57</f>
        <v>0</v>
      </c>
      <c r="U50" s="18">
        <f>'Formato 6 a)'!G57</f>
        <v>12834.23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1629106.16</v>
      </c>
      <c r="R76">
        <f>'Formato 6 a)'!D84</f>
        <v>1629106.16</v>
      </c>
      <c r="S76">
        <f>'Formato 6 a)'!E84</f>
        <v>1552743.83</v>
      </c>
      <c r="T76">
        <f>'Formato 6 a)'!F84</f>
        <v>1552743.83</v>
      </c>
      <c r="U76">
        <f>'Formato 6 a)'!G84</f>
        <v>76362.33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383139.49</v>
      </c>
      <c r="R85">
        <f>'Formato 6 a)'!D93</f>
        <v>383139.49</v>
      </c>
      <c r="S85">
        <f>'Formato 6 a)'!E93</f>
        <v>383130.86</v>
      </c>
      <c r="T85">
        <f>'Formato 6 a)'!F93</f>
        <v>383130.86</v>
      </c>
      <c r="U85">
        <f>'Formato 6 a)'!G93</f>
        <v>8.6300000000046566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202921.09</v>
      </c>
      <c r="R86">
        <f>'Formato 6 a)'!D94</f>
        <v>202921.09</v>
      </c>
      <c r="S86">
        <f>'Formato 6 a)'!E94</f>
        <v>202921.09</v>
      </c>
      <c r="T86">
        <f>'Formato 6 a)'!F94</f>
        <v>202921.09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53820.18</v>
      </c>
      <c r="R87">
        <f>'Formato 6 a)'!D95</f>
        <v>53820.18</v>
      </c>
      <c r="S87">
        <f>'Formato 6 a)'!E95</f>
        <v>53820.18</v>
      </c>
      <c r="T87">
        <f>'Formato 6 a)'!F95</f>
        <v>53820.18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92078.22</v>
      </c>
      <c r="R89">
        <f>'Formato 6 a)'!D97</f>
        <v>92078.22</v>
      </c>
      <c r="S89">
        <f>'Formato 6 a)'!E97</f>
        <v>92069.59</v>
      </c>
      <c r="T89">
        <f>'Formato 6 a)'!F97</f>
        <v>92069.59</v>
      </c>
      <c r="U89">
        <f>'Formato 6 a)'!G97</f>
        <v>8.6300000000046566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34320</v>
      </c>
      <c r="R92">
        <f>'Formato 6 a)'!D100</f>
        <v>34320</v>
      </c>
      <c r="S92">
        <f>'Formato 6 a)'!E100</f>
        <v>34320</v>
      </c>
      <c r="T92">
        <f>'Formato 6 a)'!F100</f>
        <v>34320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1120176.19</v>
      </c>
      <c r="R95">
        <f>'Formato 6 a)'!D103</f>
        <v>1120176.19</v>
      </c>
      <c r="S95">
        <f>'Formato 6 a)'!E103</f>
        <v>1043822.49</v>
      </c>
      <c r="T95">
        <f>'Formato 6 a)'!F103</f>
        <v>1043822.49</v>
      </c>
      <c r="U95">
        <f>'Formato 6 a)'!G103</f>
        <v>76353.7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366114.25</v>
      </c>
      <c r="R98">
        <f>'Formato 6 a)'!D106</f>
        <v>366114.25</v>
      </c>
      <c r="S98">
        <f>'Formato 6 a)'!E106</f>
        <v>310061.94</v>
      </c>
      <c r="T98">
        <f>'Formato 6 a)'!F106</f>
        <v>310061.94</v>
      </c>
      <c r="U98">
        <f>'Formato 6 a)'!G106</f>
        <v>56052.31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754006.26</v>
      </c>
      <c r="R100">
        <f>'Formato 6 a)'!D108</f>
        <v>754006.26</v>
      </c>
      <c r="S100">
        <f>'Formato 6 a)'!E108</f>
        <v>733706.26</v>
      </c>
      <c r="T100">
        <f>'Formato 6 a)'!F108</f>
        <v>733706.26</v>
      </c>
      <c r="U100">
        <f>'Formato 6 a)'!G108</f>
        <v>20300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55.68</v>
      </c>
      <c r="R104">
        <f>'Formato 6 a)'!D112</f>
        <v>55.68</v>
      </c>
      <c r="S104">
        <f>'Formato 6 a)'!E112</f>
        <v>54.29</v>
      </c>
      <c r="T104">
        <f>'Formato 6 a)'!F112</f>
        <v>54.29</v>
      </c>
      <c r="U104">
        <f>'Formato 6 a)'!G112</f>
        <v>1.3900000000000006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82060</v>
      </c>
      <c r="R105">
        <f>'Formato 6 a)'!D113</f>
        <v>82060</v>
      </c>
      <c r="S105">
        <f>'Formato 6 a)'!E113</f>
        <v>82060</v>
      </c>
      <c r="T105">
        <f>'Formato 6 a)'!F113</f>
        <v>82060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82060</v>
      </c>
      <c r="R109">
        <f>'Formato 6 a)'!D117</f>
        <v>82060</v>
      </c>
      <c r="S109">
        <f>'Formato 6 a)'!E117</f>
        <v>82060</v>
      </c>
      <c r="T109">
        <f>'Formato 6 a)'!F117</f>
        <v>82060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43730.48</v>
      </c>
      <c r="R115">
        <f>'Formato 6 a)'!D123</f>
        <v>43730.48</v>
      </c>
      <c r="S115">
        <f>'Formato 6 a)'!E123</f>
        <v>43730.48</v>
      </c>
      <c r="T115">
        <f>'Formato 6 a)'!F123</f>
        <v>43730.48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43730.48</v>
      </c>
      <c r="R116">
        <f>'Formato 6 a)'!D124</f>
        <v>43730.48</v>
      </c>
      <c r="S116">
        <f>'Formato 6 a)'!E124</f>
        <v>43730.48</v>
      </c>
      <c r="T116">
        <f>'Formato 6 a)'!F124</f>
        <v>43730.48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129403049.36000003</v>
      </c>
      <c r="Q150">
        <f>'Formato 6 a)'!C159</f>
        <v>1900945.7699999996</v>
      </c>
      <c r="R150">
        <f>'Formato 6 a)'!D159</f>
        <v>131303995.13</v>
      </c>
      <c r="S150">
        <f>'Formato 6 a)'!E159</f>
        <v>30136094.310000002</v>
      </c>
      <c r="T150">
        <f>'Formato 6 a)'!F159</f>
        <v>30073583.050000004</v>
      </c>
      <c r="U150">
        <f>'Formato 6 a)'!G159</f>
        <v>101167900.82000001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abSelected="1" zoomScale="90" zoomScaleNormal="90" workbookViewId="0">
      <selection activeCell="A3" sqref="C3:D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4" t="s">
        <v>3290</v>
      </c>
      <c r="B1" s="174"/>
      <c r="C1" s="174"/>
      <c r="D1" s="174"/>
      <c r="E1" s="174"/>
      <c r="F1" s="174"/>
      <c r="G1" s="174"/>
    </row>
    <row r="2" spans="1:7" x14ac:dyDescent="0.25">
      <c r="A2" s="155" t="str">
        <f>ENTE_PUBLICO_A</f>
        <v>SISTEMA PARA EL DESARROLLO INTEGRAL DE FAMILIA EN EL MUNICIPIO DE LEÓN, GTO,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277</v>
      </c>
      <c r="B3" s="159"/>
      <c r="C3" s="159"/>
      <c r="D3" s="159"/>
      <c r="E3" s="159"/>
      <c r="F3" s="159"/>
      <c r="G3" s="160"/>
    </row>
    <row r="4" spans="1:7" x14ac:dyDescent="0.25">
      <c r="A4" s="158" t="s">
        <v>431</v>
      </c>
      <c r="B4" s="159"/>
      <c r="C4" s="159"/>
      <c r="D4" s="159"/>
      <c r="E4" s="159"/>
      <c r="F4" s="159"/>
      <c r="G4" s="160"/>
    </row>
    <row r="5" spans="1:7" x14ac:dyDescent="0.25">
      <c r="A5" s="161" t="str">
        <f>TRIMESTRE</f>
        <v>Del 1 de enero al 30 de marzo de 2019 (b)</v>
      </c>
      <c r="B5" s="162"/>
      <c r="C5" s="162"/>
      <c r="D5" s="162"/>
      <c r="E5" s="162"/>
      <c r="F5" s="162"/>
      <c r="G5" s="163"/>
    </row>
    <row r="6" spans="1:7" x14ac:dyDescent="0.2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0</v>
      </c>
      <c r="B7" s="172" t="s">
        <v>279</v>
      </c>
      <c r="C7" s="172"/>
      <c r="D7" s="172"/>
      <c r="E7" s="172"/>
      <c r="F7" s="172"/>
      <c r="G7" s="176" t="s">
        <v>280</v>
      </c>
    </row>
    <row r="8" spans="1:7" ht="30" x14ac:dyDescent="0.25">
      <c r="A8" s="17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5"/>
    </row>
    <row r="9" spans="1:7" x14ac:dyDescent="0.25">
      <c r="A9" s="52" t="s">
        <v>440</v>
      </c>
      <c r="B9" s="59">
        <f>SUM(B10:GASTO_NE_FIN_01)</f>
        <v>129403049.36000003</v>
      </c>
      <c r="C9" s="59">
        <f>SUM(C10:GASTO_NE_FIN_02)</f>
        <v>271839.60999999958</v>
      </c>
      <c r="D9" s="59">
        <f>SUM(D10:GASTO_NE_FIN_03)</f>
        <v>129674888.97</v>
      </c>
      <c r="E9" s="59">
        <f>SUM(E10:GASTO_NE_FIN_04)</f>
        <v>28583350.48</v>
      </c>
      <c r="F9" s="59">
        <f>SUM(F10:GASTO_NE_FIN_05)</f>
        <v>28520839.220000003</v>
      </c>
      <c r="G9" s="59">
        <f>SUM(G10:GASTO_NE_FIN_06)</f>
        <v>101091538.49000001</v>
      </c>
    </row>
    <row r="10" spans="1:7" s="24" customFormat="1" x14ac:dyDescent="0.25">
      <c r="A10" s="144" t="s">
        <v>432</v>
      </c>
      <c r="B10" s="60">
        <v>129403049.36000003</v>
      </c>
      <c r="C10" s="60">
        <v>271839.60999999958</v>
      </c>
      <c r="D10" s="60">
        <v>129674888.97</v>
      </c>
      <c r="E10" s="60">
        <v>28583350.48</v>
      </c>
      <c r="F10" s="60">
        <v>28520839.220000003</v>
      </c>
      <c r="G10" s="77">
        <v>101091538.49000001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1629106.16</v>
      </c>
      <c r="D19" s="61">
        <f>SUM(D20:GASTO_E_FIN_03)</f>
        <v>1629106.16</v>
      </c>
      <c r="E19" s="61">
        <f>SUM(E20:GASTO_E_FIN_04)</f>
        <v>1552743.83</v>
      </c>
      <c r="F19" s="61">
        <f>SUM(F20:GASTO_E_FIN_05)</f>
        <v>1552743.83</v>
      </c>
      <c r="G19" s="61">
        <f>SUM(G20:GASTO_E_FIN_06)</f>
        <v>76362.33</v>
      </c>
    </row>
    <row r="20" spans="1:7" s="24" customFormat="1" x14ac:dyDescent="0.25">
      <c r="A20" s="144" t="s">
        <v>432</v>
      </c>
      <c r="B20" s="79">
        <v>0</v>
      </c>
      <c r="C20" s="60">
        <v>1629106.16</v>
      </c>
      <c r="D20" s="60">
        <v>1629106.16</v>
      </c>
      <c r="E20" s="60">
        <v>1552743.83</v>
      </c>
      <c r="F20" s="60">
        <v>1552743.83</v>
      </c>
      <c r="G20" s="60">
        <v>76362.33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129403049.36000003</v>
      </c>
      <c r="C29" s="61">
        <f>GASTO_NE_T2+GASTO_E_T2</f>
        <v>1900945.7699999996</v>
      </c>
      <c r="D29" s="61">
        <f>GASTO_NE_T3+GASTO_E_T3</f>
        <v>131303995.13</v>
      </c>
      <c r="E29" s="61">
        <f>GASTO_NE_T4+GASTO_E_T4</f>
        <v>30136094.310000002</v>
      </c>
      <c r="F29" s="61">
        <f>GASTO_NE_T5+GASTO_E_T5</f>
        <v>30073583.050000004</v>
      </c>
      <c r="G29" s="61">
        <f>GASTO_NE_T6+GASTO_E_T6</f>
        <v>101167900.82000001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129403049.36000003</v>
      </c>
      <c r="Q2" s="18">
        <f>GASTO_NE_T2</f>
        <v>271839.60999999958</v>
      </c>
      <c r="R2" s="18">
        <f>GASTO_NE_T3</f>
        <v>129674888.97</v>
      </c>
      <c r="S2" s="18">
        <f>GASTO_NE_T4</f>
        <v>28583350.48</v>
      </c>
      <c r="T2" s="18">
        <f>GASTO_NE_T5</f>
        <v>28520839.220000003</v>
      </c>
      <c r="U2" s="18">
        <f>GASTO_NE_T6</f>
        <v>101091538.49000001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1629106.16</v>
      </c>
      <c r="R3" s="18">
        <f>GASTO_E_T3</f>
        <v>1629106.16</v>
      </c>
      <c r="S3" s="18">
        <f>GASTO_E_T4</f>
        <v>1552743.83</v>
      </c>
      <c r="T3" s="18">
        <f>GASTO_E_T5</f>
        <v>1552743.83</v>
      </c>
      <c r="U3" s="18">
        <f>GASTO_E_T6</f>
        <v>76362.33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129403049.36000003</v>
      </c>
      <c r="Q4" s="18">
        <f>TOTAL_E_T2</f>
        <v>1900945.7699999996</v>
      </c>
      <c r="R4" s="18">
        <f>TOTAL_E_T3</f>
        <v>131303995.13</v>
      </c>
      <c r="S4" s="18">
        <f>TOTAL_E_T4</f>
        <v>30136094.310000002</v>
      </c>
      <c r="T4" s="18">
        <f>TOTAL_E_T5</f>
        <v>30073583.050000004</v>
      </c>
      <c r="U4" s="18">
        <f>TOTAL_E_T6</f>
        <v>101167900.82000001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abSelected="1" topLeftCell="A38" zoomScale="90" zoomScaleNormal="90" workbookViewId="0">
      <selection activeCell="A3" sqref="C3:D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0" t="s">
        <v>3289</v>
      </c>
      <c r="B1" s="181"/>
      <c r="C1" s="181"/>
      <c r="D1" s="181"/>
      <c r="E1" s="181"/>
      <c r="F1" s="181"/>
      <c r="G1" s="181"/>
    </row>
    <row r="2" spans="1:7" x14ac:dyDescent="0.25">
      <c r="A2" s="155" t="str">
        <f>ENTE_PUBLICO_A</f>
        <v>SISTEMA PARA EL DESARROLLO INTEGRAL DE FAMILIA EN EL MUNICIPIO DE LEÓN, GTO,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58" t="s">
        <v>396</v>
      </c>
      <c r="B3" s="159"/>
      <c r="C3" s="159"/>
      <c r="D3" s="159"/>
      <c r="E3" s="159"/>
      <c r="F3" s="159"/>
      <c r="G3" s="160"/>
    </row>
    <row r="4" spans="1:7" x14ac:dyDescent="0.25">
      <c r="A4" s="158" t="s">
        <v>397</v>
      </c>
      <c r="B4" s="159"/>
      <c r="C4" s="159"/>
      <c r="D4" s="159"/>
      <c r="E4" s="159"/>
      <c r="F4" s="159"/>
      <c r="G4" s="160"/>
    </row>
    <row r="5" spans="1:7" x14ac:dyDescent="0.25">
      <c r="A5" s="161" t="str">
        <f>TRIMESTRE</f>
        <v>Del 1 de enero al 30 de marzo de 2019 (b)</v>
      </c>
      <c r="B5" s="162"/>
      <c r="C5" s="162"/>
      <c r="D5" s="162"/>
      <c r="E5" s="162"/>
      <c r="F5" s="162"/>
      <c r="G5" s="163"/>
    </row>
    <row r="6" spans="1:7" x14ac:dyDescent="0.2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59" t="s">
        <v>0</v>
      </c>
      <c r="B7" s="164" t="s">
        <v>279</v>
      </c>
      <c r="C7" s="165"/>
      <c r="D7" s="165"/>
      <c r="E7" s="165"/>
      <c r="F7" s="166"/>
      <c r="G7" s="176" t="s">
        <v>3286</v>
      </c>
    </row>
    <row r="8" spans="1:7" ht="30.75" customHeight="1" x14ac:dyDescent="0.25">
      <c r="A8" s="15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5"/>
    </row>
    <row r="9" spans="1:7" x14ac:dyDescent="0.25">
      <c r="A9" s="52" t="s">
        <v>363</v>
      </c>
      <c r="B9" s="70">
        <f>SUM(B10,B19,B27,B37)</f>
        <v>129403049.36000003</v>
      </c>
      <c r="C9" s="70">
        <f t="shared" ref="C9:G9" si="0">SUM(C10,C19,C27,C37)</f>
        <v>271839.60999999958</v>
      </c>
      <c r="D9" s="70">
        <f t="shared" si="0"/>
        <v>129674888.97</v>
      </c>
      <c r="E9" s="70">
        <f t="shared" si="0"/>
        <v>28583350.48</v>
      </c>
      <c r="F9" s="70">
        <f t="shared" si="0"/>
        <v>28520839.220000003</v>
      </c>
      <c r="G9" s="70">
        <f t="shared" si="0"/>
        <v>101091538.49000001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373</v>
      </c>
      <c r="B19" s="71">
        <f>SUM(B20:B26)</f>
        <v>129403049.36000003</v>
      </c>
      <c r="C19" s="71">
        <f t="shared" ref="C19:F19" si="3">SUM(C20:C26)</f>
        <v>271839.60999999958</v>
      </c>
      <c r="D19" s="71">
        <f t="shared" si="3"/>
        <v>129674888.97</v>
      </c>
      <c r="E19" s="71">
        <f t="shared" si="3"/>
        <v>28583350.48</v>
      </c>
      <c r="F19" s="71">
        <f t="shared" si="3"/>
        <v>28520839.220000003</v>
      </c>
      <c r="G19" s="71">
        <f>SUM(G20:G26)</f>
        <v>101091538.49000001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5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129403049.36000003</v>
      </c>
      <c r="C26" s="71">
        <v>271839.60999999958</v>
      </c>
      <c r="D26" s="71">
        <v>129674888.97</v>
      </c>
      <c r="E26" s="71">
        <v>28583350.48</v>
      </c>
      <c r="F26" s="71">
        <v>28520839.220000003</v>
      </c>
      <c r="G26" s="72">
        <v>101091538.49000001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 t="shared" si="8"/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1629106.16</v>
      </c>
      <c r="D43" s="73">
        <f t="shared" si="9"/>
        <v>1629106.16</v>
      </c>
      <c r="E43" s="73">
        <f t="shared" si="9"/>
        <v>1552743.83</v>
      </c>
      <c r="F43" s="73">
        <f t="shared" si="9"/>
        <v>1552743.83</v>
      </c>
      <c r="G43" s="73">
        <f t="shared" si="9"/>
        <v>76362.33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1629106.16</v>
      </c>
      <c r="D53" s="71">
        <f t="shared" si="12"/>
        <v>1629106.16</v>
      </c>
      <c r="E53" s="71">
        <f t="shared" si="12"/>
        <v>1552743.83</v>
      </c>
      <c r="F53" s="71">
        <f t="shared" si="12"/>
        <v>1552743.83</v>
      </c>
      <c r="G53" s="71">
        <f t="shared" si="12"/>
        <v>76362.33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59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60">
        <v>1629106.16</v>
      </c>
      <c r="D60" s="60">
        <v>1629106.16</v>
      </c>
      <c r="E60" s="60">
        <v>1552743.83</v>
      </c>
      <c r="F60" s="60">
        <v>1552743.83</v>
      </c>
      <c r="G60" s="60">
        <v>76362.33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129403049.36000003</v>
      </c>
      <c r="C77" s="73">
        <f t="shared" ref="C77:F77" si="18">C43+C9</f>
        <v>1900945.7699999996</v>
      </c>
      <c r="D77" s="73">
        <f t="shared" si="18"/>
        <v>131303995.13</v>
      </c>
      <c r="E77" s="73">
        <f t="shared" si="18"/>
        <v>30136094.310000002</v>
      </c>
      <c r="F77" s="73">
        <f t="shared" si="18"/>
        <v>30073583.050000004</v>
      </c>
      <c r="G77" s="73">
        <f>G43+G9</f>
        <v>101167900.82000001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38" right="0.27" top="0.74803149606299213" bottom="0.74803149606299213" header="0.31496062992125984" footer="0.31496062992125984"/>
  <pageSetup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129403049.36000003</v>
      </c>
      <c r="Q2" s="18">
        <f>'Formato 6 c)'!C9</f>
        <v>271839.60999999958</v>
      </c>
      <c r="R2" s="18">
        <f>'Formato 6 c)'!D9</f>
        <v>129674888.97</v>
      </c>
      <c r="S2" s="18">
        <f>'Formato 6 c)'!E9</f>
        <v>28583350.48</v>
      </c>
      <c r="T2" s="18">
        <f>'Formato 6 c)'!F9</f>
        <v>28520839.220000003</v>
      </c>
      <c r="U2" s="18">
        <f>'Formato 6 c)'!G9</f>
        <v>101091538.49000001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129403049.36000003</v>
      </c>
      <c r="Q12" s="18">
        <f>'Formato 6 c)'!C19</f>
        <v>271839.60999999958</v>
      </c>
      <c r="R12" s="18">
        <f>'Formato 6 c)'!D19</f>
        <v>129674888.97</v>
      </c>
      <c r="S12" s="18">
        <f>'Formato 6 c)'!E19</f>
        <v>28583350.48</v>
      </c>
      <c r="T12" s="18">
        <f>'Formato 6 c)'!F19</f>
        <v>28520839.220000003</v>
      </c>
      <c r="U12" s="18">
        <f>'Formato 6 c)'!G19</f>
        <v>101091538.49000001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129403049.36000003</v>
      </c>
      <c r="Q19" s="18">
        <f>'Formato 6 c)'!C26</f>
        <v>271839.60999999958</v>
      </c>
      <c r="R19" s="18">
        <f>'Formato 6 c)'!D26</f>
        <v>129674888.97</v>
      </c>
      <c r="S19" s="18">
        <f>'Formato 6 c)'!E26</f>
        <v>28583350.48</v>
      </c>
      <c r="T19" s="18">
        <f>'Formato 6 c)'!F26</f>
        <v>28520839.220000003</v>
      </c>
      <c r="U19" s="18">
        <f>'Formato 6 c)'!G26</f>
        <v>101091538.49000001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1629106.16</v>
      </c>
      <c r="R35" s="18">
        <f>'Formato 6 c)'!D43</f>
        <v>1629106.16</v>
      </c>
      <c r="S35" s="18">
        <f>'Formato 6 c)'!E43</f>
        <v>1552743.83</v>
      </c>
      <c r="T35" s="18">
        <f>'Formato 6 c)'!F43</f>
        <v>1552743.83</v>
      </c>
      <c r="U35" s="18">
        <f>'Formato 6 c)'!G43</f>
        <v>76362.33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1629106.16</v>
      </c>
      <c r="R45" s="18">
        <f>'Formato 6 c)'!D53</f>
        <v>1629106.16</v>
      </c>
      <c r="S45" s="18">
        <f>'Formato 6 c)'!E53</f>
        <v>1552743.83</v>
      </c>
      <c r="T45" s="18">
        <f>'Formato 6 c)'!F53</f>
        <v>1552743.83</v>
      </c>
      <c r="U45" s="18">
        <f>'Formato 6 c)'!G53</f>
        <v>76362.33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1629106.16</v>
      </c>
      <c r="R52" s="18">
        <f>'Formato 6 c)'!D60</f>
        <v>1629106.16</v>
      </c>
      <c r="S52" s="18">
        <f>'Formato 6 c)'!E60</f>
        <v>1552743.83</v>
      </c>
      <c r="T52" s="18">
        <f>'Formato 6 c)'!F60</f>
        <v>1552743.83</v>
      </c>
      <c r="U52" s="18">
        <f>'Formato 6 c)'!G60</f>
        <v>76362.33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129403049.36000003</v>
      </c>
      <c r="Q68" s="18">
        <f>'Formato 6 c)'!C77</f>
        <v>1900945.7699999996</v>
      </c>
      <c r="R68" s="18">
        <f>'Formato 6 c)'!D77</f>
        <v>131303995.13</v>
      </c>
      <c r="S68" s="18">
        <f>'Formato 6 c)'!E77</f>
        <v>30136094.310000002</v>
      </c>
      <c r="T68" s="18">
        <f>'Formato 6 c)'!F77</f>
        <v>30073583.050000004</v>
      </c>
      <c r="U68" s="18">
        <f>'Formato 6 c)'!G77</f>
        <v>101167900.82000001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FAMILIA EN EL MUNICIPIO DE LEÓN, GTO, Gobierno del Estado de Guanajuato</v>
      </c>
    </row>
    <row r="7" spans="2:3" x14ac:dyDescent="0.25">
      <c r="C7" t="str">
        <f>CONCATENATE(ENTE_PUBLICO," (a)")</f>
        <v>SISTEMA PARA EL DESARROLLO INTEGRAL DE FAMILIA EN EL MUNICIPIO DE LEÓN, GTO,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1</v>
      </c>
    </row>
    <row r="16" spans="2:3" x14ac:dyDescent="0.2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60" x14ac:dyDescent="0.2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x14ac:dyDescent="0.2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tabSelected="1" zoomScale="80" zoomScaleNormal="80" workbookViewId="0">
      <selection activeCell="A3" sqref="C3:D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4" t="s">
        <v>3287</v>
      </c>
      <c r="B1" s="173"/>
      <c r="C1" s="173"/>
      <c r="D1" s="173"/>
      <c r="E1" s="173"/>
      <c r="F1" s="173"/>
      <c r="G1" s="173"/>
    </row>
    <row r="2" spans="1:7" x14ac:dyDescent="0.25">
      <c r="A2" s="155" t="str">
        <f>ENTE_PUBLICO_A</f>
        <v>SISTEMA PARA EL DESARROLLO INTEGRAL DE FAMILIA EN EL MUNICIPIO DE LEÓN, GTO, Gobierno del Estado de Guanajuato (a)</v>
      </c>
      <c r="B2" s="156"/>
      <c r="C2" s="156"/>
      <c r="D2" s="156"/>
      <c r="E2" s="156"/>
      <c r="F2" s="156"/>
      <c r="G2" s="157"/>
    </row>
    <row r="3" spans="1:7" x14ac:dyDescent="0.25">
      <c r="A3" s="161" t="s">
        <v>277</v>
      </c>
      <c r="B3" s="162"/>
      <c r="C3" s="162"/>
      <c r="D3" s="162"/>
      <c r="E3" s="162"/>
      <c r="F3" s="162"/>
      <c r="G3" s="163"/>
    </row>
    <row r="4" spans="1:7" x14ac:dyDescent="0.25">
      <c r="A4" s="161" t="s">
        <v>399</v>
      </c>
      <c r="B4" s="162"/>
      <c r="C4" s="162"/>
      <c r="D4" s="162"/>
      <c r="E4" s="162"/>
      <c r="F4" s="162"/>
      <c r="G4" s="163"/>
    </row>
    <row r="5" spans="1:7" x14ac:dyDescent="0.25">
      <c r="A5" s="161" t="str">
        <f>TRIMESTRE</f>
        <v>Del 1 de enero al 30 de marzo de 2019 (b)</v>
      </c>
      <c r="B5" s="162"/>
      <c r="C5" s="162"/>
      <c r="D5" s="162"/>
      <c r="E5" s="162"/>
      <c r="F5" s="162"/>
      <c r="G5" s="163"/>
    </row>
    <row r="6" spans="1:7" x14ac:dyDescent="0.25">
      <c r="A6" s="164" t="s">
        <v>118</v>
      </c>
      <c r="B6" s="165"/>
      <c r="C6" s="165"/>
      <c r="D6" s="165"/>
      <c r="E6" s="165"/>
      <c r="F6" s="165"/>
      <c r="G6" s="166"/>
    </row>
    <row r="7" spans="1:7" x14ac:dyDescent="0.25">
      <c r="A7" s="170" t="s">
        <v>361</v>
      </c>
      <c r="B7" s="175" t="s">
        <v>279</v>
      </c>
      <c r="C7" s="175"/>
      <c r="D7" s="175"/>
      <c r="E7" s="175"/>
      <c r="F7" s="175"/>
      <c r="G7" s="175" t="s">
        <v>280</v>
      </c>
    </row>
    <row r="8" spans="1:7" ht="29.25" customHeight="1" x14ac:dyDescent="0.25">
      <c r="A8" s="17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2"/>
    </row>
    <row r="9" spans="1:7" x14ac:dyDescent="0.25">
      <c r="A9" s="52" t="s">
        <v>400</v>
      </c>
      <c r="B9" s="66">
        <f>SUM(B10,B11,B12,B15,B16,B19)</f>
        <v>105767915.19000001</v>
      </c>
      <c r="C9" s="66">
        <f t="shared" ref="C9:F9" si="0">SUM(C10,C11,C12,C15,C16,C19)</f>
        <v>0</v>
      </c>
      <c r="D9" s="66">
        <f t="shared" si="0"/>
        <v>105767915.19</v>
      </c>
      <c r="E9" s="66">
        <f t="shared" si="0"/>
        <v>24674210.27</v>
      </c>
      <c r="F9" s="66">
        <f t="shared" si="0"/>
        <v>24674210.27</v>
      </c>
      <c r="G9" s="66">
        <f>SUM(G10,G11,G12,G15,G16,G19)</f>
        <v>81093704.920000002</v>
      </c>
    </row>
    <row r="10" spans="1:7" x14ac:dyDescent="0.25">
      <c r="A10" s="53" t="s">
        <v>401</v>
      </c>
      <c r="B10" s="67">
        <v>105767915.19000001</v>
      </c>
      <c r="C10" s="67">
        <v>0</v>
      </c>
      <c r="D10" s="67">
        <v>105767915.19</v>
      </c>
      <c r="E10" s="67">
        <v>24674210.27</v>
      </c>
      <c r="F10" s="67">
        <v>24674210.27</v>
      </c>
      <c r="G10" s="67">
        <v>81093704.920000002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105767915.19000001</v>
      </c>
      <c r="C33" s="66">
        <f t="shared" ref="C33:G33" si="9">C21+C9</f>
        <v>0</v>
      </c>
      <c r="D33" s="66">
        <f t="shared" si="9"/>
        <v>105767915.19</v>
      </c>
      <c r="E33" s="66">
        <f t="shared" si="9"/>
        <v>24674210.27</v>
      </c>
      <c r="F33" s="66">
        <f t="shared" si="9"/>
        <v>24674210.27</v>
      </c>
      <c r="G33" s="66">
        <f t="shared" si="9"/>
        <v>81093704.920000002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17" top="0.74803149606299213" bottom="0.74803149606299213" header="0.31496062992125984" footer="0.31496062992125984"/>
  <pageSetup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105767915.19000001</v>
      </c>
      <c r="Q2" s="18">
        <f>'Formato 6 d)'!C9</f>
        <v>0</v>
      </c>
      <c r="R2" s="18">
        <f>'Formato 6 d)'!D9</f>
        <v>105767915.19</v>
      </c>
      <c r="S2" s="18">
        <f>'Formato 6 d)'!E9</f>
        <v>24674210.27</v>
      </c>
      <c r="T2" s="18">
        <f>'Formato 6 d)'!F9</f>
        <v>24674210.27</v>
      </c>
      <c r="U2" s="18">
        <f>'Formato 6 d)'!G9</f>
        <v>81093704.920000002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105767915.19000001</v>
      </c>
      <c r="Q3" s="18">
        <f>'Formato 6 d)'!C10</f>
        <v>0</v>
      </c>
      <c r="R3" s="18">
        <f>'Formato 6 d)'!D10</f>
        <v>105767915.19</v>
      </c>
      <c r="S3" s="18">
        <f>'Formato 6 d)'!E10</f>
        <v>24674210.27</v>
      </c>
      <c r="T3" s="18">
        <f>'Formato 6 d)'!F10</f>
        <v>24674210.27</v>
      </c>
      <c r="U3" s="18">
        <f>'Formato 6 d)'!G10</f>
        <v>81093704.920000002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105767915.19000001</v>
      </c>
      <c r="Q24" s="18">
        <f>'Formato 6 d)'!C33</f>
        <v>0</v>
      </c>
      <c r="R24" s="18">
        <f>'Formato 6 d)'!D33</f>
        <v>105767915.19</v>
      </c>
      <c r="S24" s="18">
        <f>'Formato 6 d)'!E33</f>
        <v>24674210.27</v>
      </c>
      <c r="T24" s="18">
        <f>'Formato 6 d)'!F33</f>
        <v>24674210.27</v>
      </c>
      <c r="U24" s="18">
        <f>'Formato 6 d)'!G33</f>
        <v>81093704.920000002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abSelected="1" zoomScale="85" zoomScaleNormal="85" zoomScalePageLayoutView="90" workbookViewId="0">
      <selection activeCell="A3" sqref="C3:D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3" t="s">
        <v>413</v>
      </c>
      <c r="B1" s="173"/>
      <c r="C1" s="173"/>
      <c r="D1" s="173"/>
      <c r="E1" s="173"/>
      <c r="F1" s="173"/>
      <c r="G1" s="173"/>
    </row>
    <row r="2" spans="1:7" x14ac:dyDescent="0.2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x14ac:dyDescent="0.25">
      <c r="A3" s="158" t="s">
        <v>414</v>
      </c>
      <c r="B3" s="159"/>
      <c r="C3" s="159"/>
      <c r="D3" s="159"/>
      <c r="E3" s="159"/>
      <c r="F3" s="159"/>
      <c r="G3" s="160"/>
    </row>
    <row r="4" spans="1:7" x14ac:dyDescent="0.25">
      <c r="A4" s="158" t="s">
        <v>118</v>
      </c>
      <c r="B4" s="159"/>
      <c r="C4" s="159"/>
      <c r="D4" s="159"/>
      <c r="E4" s="159"/>
      <c r="F4" s="159"/>
      <c r="G4" s="160"/>
    </row>
    <row r="5" spans="1:7" x14ac:dyDescent="0.25">
      <c r="A5" s="158" t="s">
        <v>415</v>
      </c>
      <c r="B5" s="159"/>
      <c r="C5" s="159"/>
      <c r="D5" s="159"/>
      <c r="E5" s="159"/>
      <c r="F5" s="159"/>
      <c r="G5" s="160"/>
    </row>
    <row r="6" spans="1:7" x14ac:dyDescent="0.25">
      <c r="A6" s="170" t="s">
        <v>3288</v>
      </c>
      <c r="B6" s="51">
        <f>ANIO1P</f>
        <v>2020</v>
      </c>
      <c r="C6" s="183" t="str">
        <f>ANIO2P</f>
        <v>2021 (d)</v>
      </c>
      <c r="D6" s="183" t="str">
        <f>ANIO3P</f>
        <v>2022 (d)</v>
      </c>
      <c r="E6" s="183" t="str">
        <f>ANIO4P</f>
        <v>2023 (d)</v>
      </c>
      <c r="F6" s="183" t="str">
        <f>ANIO5P</f>
        <v>2024 (d)</v>
      </c>
      <c r="G6" s="183" t="str">
        <f>ANIO6P</f>
        <v>2025 (d)</v>
      </c>
    </row>
    <row r="7" spans="1:7" ht="48" customHeight="1" x14ac:dyDescent="0.25">
      <c r="A7" s="171"/>
      <c r="B7" s="88" t="s">
        <v>3291</v>
      </c>
      <c r="C7" s="184"/>
      <c r="D7" s="184"/>
      <c r="E7" s="184"/>
      <c r="F7" s="184"/>
      <c r="G7" s="184"/>
    </row>
    <row r="8" spans="1:7" x14ac:dyDescent="0.25">
      <c r="A8" s="52" t="s">
        <v>421</v>
      </c>
      <c r="B8" s="59">
        <f>SUM(B9:B20)</f>
        <v>135675922.92150003</v>
      </c>
      <c r="C8" s="59">
        <f t="shared" ref="C8:G8" si="0">SUM(C9:C20)</f>
        <v>142459719.06757501</v>
      </c>
      <c r="D8" s="59">
        <f t="shared" si="0"/>
        <v>149582705.02095377</v>
      </c>
      <c r="E8" s="59">
        <f t="shared" si="0"/>
        <v>157061840.27200145</v>
      </c>
      <c r="F8" s="59">
        <f t="shared" si="0"/>
        <v>164914932.28560153</v>
      </c>
      <c r="G8" s="59">
        <f t="shared" si="0"/>
        <v>173160678.8998816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7393935.6854999997</v>
      </c>
      <c r="C12" s="60">
        <v>7763632.4697749997</v>
      </c>
      <c r="D12" s="60">
        <v>8151814.09326375</v>
      </c>
      <c r="E12" s="60">
        <v>8559404.7979269382</v>
      </c>
      <c r="F12" s="60">
        <v>8987375.0378232859</v>
      </c>
      <c r="G12" s="60">
        <v>9436743.78971445</v>
      </c>
    </row>
    <row r="13" spans="1:7" x14ac:dyDescent="0.25">
      <c r="A13" s="53" t="s">
        <v>220</v>
      </c>
      <c r="B13" s="60">
        <v>3945600.1799999997</v>
      </c>
      <c r="C13" s="60">
        <v>4142880.1889999998</v>
      </c>
      <c r="D13" s="60">
        <v>4350024.19845</v>
      </c>
      <c r="E13" s="60">
        <v>4567525.4083725</v>
      </c>
      <c r="F13" s="60">
        <v>4795901.6787911253</v>
      </c>
      <c r="G13" s="60">
        <v>5035696.7627306813</v>
      </c>
    </row>
    <row r="14" spans="1:7" x14ac:dyDescent="0.25">
      <c r="A14" s="53" t="s">
        <v>221</v>
      </c>
      <c r="B14" s="60">
        <v>4849704.0060000001</v>
      </c>
      <c r="C14" s="60">
        <v>5092189.2063000007</v>
      </c>
      <c r="D14" s="60">
        <v>5346798.6666150009</v>
      </c>
      <c r="E14" s="60">
        <v>5614138.599945751</v>
      </c>
      <c r="F14" s="60">
        <v>5894845.5299430387</v>
      </c>
      <c r="G14" s="60">
        <v>6189587.8064401913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119486683.05000001</v>
      </c>
      <c r="C18" s="60">
        <v>125461017.20250002</v>
      </c>
      <c r="D18" s="60">
        <v>131734068.06262502</v>
      </c>
      <c r="E18" s="60">
        <v>138320771.46575627</v>
      </c>
      <c r="F18" s="60">
        <v>145236810.03904408</v>
      </c>
      <c r="G18" s="60">
        <v>152498650.54099628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135675922.92150003</v>
      </c>
      <c r="C32" s="61">
        <f t="shared" ref="C32:F32" si="3">C29+C22+C8</f>
        <v>142459719.06757501</v>
      </c>
      <c r="D32" s="61">
        <f t="shared" si="3"/>
        <v>149582705.02095377</v>
      </c>
      <c r="E32" s="61">
        <f t="shared" si="3"/>
        <v>157061840.27200145</v>
      </c>
      <c r="F32" s="61">
        <f t="shared" si="3"/>
        <v>164914932.28560153</v>
      </c>
      <c r="G32" s="61">
        <f>G29+G22+G8</f>
        <v>173160678.8998816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47" right="0.21" top="0.74803149606299213" bottom="0.74803149606299213" header="0.31496062992125984" footer="0.31496062992125984"/>
  <pageSetup scale="65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135675922.92150003</v>
      </c>
      <c r="Q2" s="18">
        <f>'Formato 7 a)'!C8</f>
        <v>142459719.06757501</v>
      </c>
      <c r="R2" s="18">
        <f>'Formato 7 a)'!D8</f>
        <v>149582705.02095377</v>
      </c>
      <c r="S2" s="18">
        <f>'Formato 7 a)'!E8</f>
        <v>157061840.27200145</v>
      </c>
      <c r="T2" s="18">
        <f>'Formato 7 a)'!F8</f>
        <v>164914932.28560153</v>
      </c>
      <c r="U2" s="18">
        <f>'Formato 7 a)'!G8</f>
        <v>173160678.8998816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7393935.6854999997</v>
      </c>
      <c r="Q6" s="18">
        <f>'Formato 7 a)'!C12</f>
        <v>7763632.4697749997</v>
      </c>
      <c r="R6" s="18">
        <f>'Formato 7 a)'!D12</f>
        <v>8151814.09326375</v>
      </c>
      <c r="S6" s="18">
        <f>'Formato 7 a)'!E12</f>
        <v>8559404.7979269382</v>
      </c>
      <c r="T6" s="18">
        <f>'Formato 7 a)'!F12</f>
        <v>8987375.0378232859</v>
      </c>
      <c r="U6" s="18">
        <f>'Formato 7 a)'!G12</f>
        <v>9436743.78971445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3945600.1799999997</v>
      </c>
      <c r="Q7" s="18">
        <f>'Formato 7 a)'!C13</f>
        <v>4142880.1889999998</v>
      </c>
      <c r="R7" s="18">
        <f>'Formato 7 a)'!D13</f>
        <v>4350024.19845</v>
      </c>
      <c r="S7" s="18">
        <f>'Formato 7 a)'!E13</f>
        <v>4567525.4083725</v>
      </c>
      <c r="T7" s="18">
        <f>'Formato 7 a)'!F13</f>
        <v>4795901.6787911253</v>
      </c>
      <c r="U7" s="18">
        <f>'Formato 7 a)'!G13</f>
        <v>5035696.7627306813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4849704.0060000001</v>
      </c>
      <c r="Q8" s="18">
        <f>'Formato 7 a)'!C14</f>
        <v>5092189.2063000007</v>
      </c>
      <c r="R8" s="18">
        <f>'Formato 7 a)'!D14</f>
        <v>5346798.6666150009</v>
      </c>
      <c r="S8" s="18">
        <f>'Formato 7 a)'!E14</f>
        <v>5614138.599945751</v>
      </c>
      <c r="T8" s="18">
        <f>'Formato 7 a)'!F14</f>
        <v>5894845.5299430387</v>
      </c>
      <c r="U8" s="18">
        <f>'Formato 7 a)'!G14</f>
        <v>6189587.8064401913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119486683.05000001</v>
      </c>
      <c r="Q12" s="18">
        <f>'Formato 7 a)'!C18</f>
        <v>125461017.20250002</v>
      </c>
      <c r="R12" s="18">
        <f>'Formato 7 a)'!D18</f>
        <v>131734068.06262502</v>
      </c>
      <c r="S12" s="18">
        <f>'Formato 7 a)'!E18</f>
        <v>138320771.46575627</v>
      </c>
      <c r="T12" s="18">
        <f>'Formato 7 a)'!F18</f>
        <v>145236810.03904408</v>
      </c>
      <c r="U12" s="18">
        <f>'Formato 7 a)'!G18</f>
        <v>152498650.54099628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135675922.92150003</v>
      </c>
      <c r="Q23" s="18">
        <f>'Formato 7 a)'!C32</f>
        <v>142459719.06757501</v>
      </c>
      <c r="R23" s="18">
        <f>'Formato 7 a)'!D32</f>
        <v>149582705.02095377</v>
      </c>
      <c r="S23" s="18">
        <f>'Formato 7 a)'!E32</f>
        <v>157061840.27200145</v>
      </c>
      <c r="T23" s="18">
        <f>'Formato 7 a)'!F32</f>
        <v>164914932.28560153</v>
      </c>
      <c r="U23" s="18">
        <f>'Formato 7 a)'!G32</f>
        <v>173160678.8998816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abSelected="1" topLeftCell="A4" zoomScale="90" zoomScaleNormal="90" workbookViewId="0">
      <selection activeCell="A3" sqref="C3:D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3" t="s">
        <v>451</v>
      </c>
      <c r="B1" s="173"/>
      <c r="C1" s="173"/>
      <c r="D1" s="173"/>
      <c r="E1" s="173"/>
      <c r="F1" s="173"/>
      <c r="G1" s="173"/>
    </row>
    <row r="2" spans="1:7" customFormat="1" x14ac:dyDescent="0.2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customFormat="1" x14ac:dyDescent="0.25">
      <c r="A3" s="158" t="s">
        <v>452</v>
      </c>
      <c r="B3" s="159"/>
      <c r="C3" s="159"/>
      <c r="D3" s="159"/>
      <c r="E3" s="159"/>
      <c r="F3" s="159"/>
      <c r="G3" s="160"/>
    </row>
    <row r="4" spans="1:7" customFormat="1" x14ac:dyDescent="0.25">
      <c r="A4" s="158" t="s">
        <v>118</v>
      </c>
      <c r="B4" s="159"/>
      <c r="C4" s="159"/>
      <c r="D4" s="159"/>
      <c r="E4" s="159"/>
      <c r="F4" s="159"/>
      <c r="G4" s="160"/>
    </row>
    <row r="5" spans="1:7" customFormat="1" x14ac:dyDescent="0.25">
      <c r="A5" s="158" t="s">
        <v>415</v>
      </c>
      <c r="B5" s="159"/>
      <c r="C5" s="159"/>
      <c r="D5" s="159"/>
      <c r="E5" s="159"/>
      <c r="F5" s="159"/>
      <c r="G5" s="160"/>
    </row>
    <row r="6" spans="1:7" customFormat="1" x14ac:dyDescent="0.25">
      <c r="A6" s="185" t="s">
        <v>3142</v>
      </c>
      <c r="B6" s="51">
        <f>ANIO1P</f>
        <v>2020</v>
      </c>
      <c r="C6" s="183" t="str">
        <f>ANIO2P</f>
        <v>2021 (d)</v>
      </c>
      <c r="D6" s="183" t="str">
        <f>ANIO3P</f>
        <v>2022 (d)</v>
      </c>
      <c r="E6" s="183" t="str">
        <f>ANIO4P</f>
        <v>2023 (d)</v>
      </c>
      <c r="F6" s="183" t="str">
        <f>ANIO5P</f>
        <v>2024 (d)</v>
      </c>
      <c r="G6" s="183" t="str">
        <f>ANIO6P</f>
        <v>2025 (d)</v>
      </c>
    </row>
    <row r="7" spans="1:7" customFormat="1" ht="48" customHeight="1" x14ac:dyDescent="0.25">
      <c r="A7" s="186"/>
      <c r="B7" s="88" t="s">
        <v>3291</v>
      </c>
      <c r="C7" s="184"/>
      <c r="D7" s="184"/>
      <c r="E7" s="184"/>
      <c r="F7" s="184"/>
      <c r="G7" s="184"/>
    </row>
    <row r="8" spans="1:7" x14ac:dyDescent="0.25">
      <c r="A8" s="52" t="s">
        <v>453</v>
      </c>
      <c r="B8" s="59">
        <f>SUM(B9:B17)</f>
        <v>135873201.82800001</v>
      </c>
      <c r="C8" s="59">
        <f t="shared" ref="C8:G8" si="0">SUM(C9:C17)</f>
        <v>142666861.91940001</v>
      </c>
      <c r="D8" s="59">
        <f t="shared" si="0"/>
        <v>149800205.01537001</v>
      </c>
      <c r="E8" s="59">
        <f t="shared" si="0"/>
        <v>157290215.26613855</v>
      </c>
      <c r="F8" s="59">
        <f t="shared" si="0"/>
        <v>165154726.02944547</v>
      </c>
      <c r="G8" s="59">
        <f t="shared" si="0"/>
        <v>173412462.33091775</v>
      </c>
    </row>
    <row r="9" spans="1:7" x14ac:dyDescent="0.25">
      <c r="A9" s="53" t="s">
        <v>454</v>
      </c>
      <c r="B9" s="60">
        <v>111056310.94950001</v>
      </c>
      <c r="C9" s="60">
        <v>116609126.49697502</v>
      </c>
      <c r="D9" s="60">
        <v>122439582.82182378</v>
      </c>
      <c r="E9" s="60">
        <v>128561561.96291497</v>
      </c>
      <c r="F9" s="60">
        <v>134989640.06106073</v>
      </c>
      <c r="G9" s="60">
        <v>141739122.06411377</v>
      </c>
    </row>
    <row r="10" spans="1:7" x14ac:dyDescent="0.25">
      <c r="A10" s="53" t="s">
        <v>455</v>
      </c>
      <c r="B10" s="60">
        <v>3921751.9635000001</v>
      </c>
      <c r="C10" s="60">
        <v>4117839.5616750005</v>
      </c>
      <c r="D10" s="60">
        <v>4323731.5397587502</v>
      </c>
      <c r="E10" s="60">
        <v>4539918.1167466883</v>
      </c>
      <c r="F10" s="60">
        <v>4766914.022584023</v>
      </c>
      <c r="G10" s="60">
        <v>5005259.7237132248</v>
      </c>
    </row>
    <row r="11" spans="1:7" x14ac:dyDescent="0.25">
      <c r="A11" s="53" t="s">
        <v>456</v>
      </c>
      <c r="B11" s="60">
        <v>15077134.632000001</v>
      </c>
      <c r="C11" s="60">
        <v>15830991.363600003</v>
      </c>
      <c r="D11" s="60">
        <v>16622540.931780003</v>
      </c>
      <c r="E11" s="60">
        <v>17453667.978369005</v>
      </c>
      <c r="F11" s="60">
        <v>18326351.377287455</v>
      </c>
      <c r="G11" s="60">
        <v>19242668.94615183</v>
      </c>
    </row>
    <row r="12" spans="1:7" x14ac:dyDescent="0.25">
      <c r="A12" s="53" t="s">
        <v>457</v>
      </c>
      <c r="B12" s="60">
        <v>5686613.9610000001</v>
      </c>
      <c r="C12" s="60">
        <v>5970944.6590500008</v>
      </c>
      <c r="D12" s="60">
        <v>6269491.8920025015</v>
      </c>
      <c r="E12" s="60">
        <v>6582966.4866026267</v>
      </c>
      <c r="F12" s="60">
        <v>6912114.8109327583</v>
      </c>
      <c r="G12" s="60">
        <v>7257720.5514793964</v>
      </c>
    </row>
    <row r="13" spans="1:7" x14ac:dyDescent="0.25">
      <c r="A13" s="53" t="s">
        <v>458</v>
      </c>
      <c r="B13" s="60">
        <v>131390.32200000001</v>
      </c>
      <c r="C13" s="60">
        <v>137959.83810000002</v>
      </c>
      <c r="D13" s="60">
        <v>144857.83000500003</v>
      </c>
      <c r="E13" s="60">
        <v>152100.72150525003</v>
      </c>
      <c r="F13" s="60">
        <v>159705.75758051252</v>
      </c>
      <c r="G13" s="60">
        <v>167691.04545953815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135873201.82800001</v>
      </c>
      <c r="C30" s="61">
        <f t="shared" ref="C30:G30" si="2">C8+C19</f>
        <v>142666861.91940001</v>
      </c>
      <c r="D30" s="61">
        <f t="shared" si="2"/>
        <v>149800205.01537001</v>
      </c>
      <c r="E30" s="61">
        <f t="shared" si="2"/>
        <v>157290215.26613855</v>
      </c>
      <c r="F30" s="61">
        <f t="shared" si="2"/>
        <v>165154726.02944547</v>
      </c>
      <c r="G30" s="61">
        <f t="shared" si="2"/>
        <v>173412462.33091775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37" right="0.19" top="0.74803149606299213" bottom="0.74803149606299213" header="0.31496062992125984" footer="0.31496062992125984"/>
  <pageSetup scale="65" orientation="landscape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135873201.82800001</v>
      </c>
      <c r="Q2" s="18">
        <f>'Formato 7 b)'!C8</f>
        <v>142666861.91940001</v>
      </c>
      <c r="R2" s="18">
        <f>'Formato 7 b)'!D8</f>
        <v>149800205.01537001</v>
      </c>
      <c r="S2" s="18">
        <f>'Formato 7 b)'!E8</f>
        <v>157290215.26613855</v>
      </c>
      <c r="T2" s="18">
        <f>'Formato 7 b)'!F8</f>
        <v>165154726.02944547</v>
      </c>
      <c r="U2" s="18">
        <f>'Formato 7 b)'!G8</f>
        <v>173412462.33091775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111056310.94950001</v>
      </c>
      <c r="Q3" s="18">
        <f>'Formato 7 b)'!C9</f>
        <v>116609126.49697502</v>
      </c>
      <c r="R3" s="18">
        <f>'Formato 7 b)'!D9</f>
        <v>122439582.82182378</v>
      </c>
      <c r="S3" s="18">
        <f>'Formato 7 b)'!E9</f>
        <v>128561561.96291497</v>
      </c>
      <c r="T3" s="18">
        <f>'Formato 7 b)'!F9</f>
        <v>134989640.06106073</v>
      </c>
      <c r="U3" s="18">
        <f>'Formato 7 b)'!G9</f>
        <v>141739122.06411377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3921751.9635000001</v>
      </c>
      <c r="Q4" s="18">
        <f>'Formato 7 b)'!C10</f>
        <v>4117839.5616750005</v>
      </c>
      <c r="R4" s="18">
        <f>'Formato 7 b)'!D10</f>
        <v>4323731.5397587502</v>
      </c>
      <c r="S4" s="18">
        <f>'Formato 7 b)'!E10</f>
        <v>4539918.1167466883</v>
      </c>
      <c r="T4" s="18">
        <f>'Formato 7 b)'!F10</f>
        <v>4766914.022584023</v>
      </c>
      <c r="U4" s="18">
        <f>'Formato 7 b)'!G10</f>
        <v>5005259.7237132248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15077134.632000001</v>
      </c>
      <c r="Q5" s="18">
        <f>'Formato 7 b)'!C11</f>
        <v>15830991.363600003</v>
      </c>
      <c r="R5" s="18">
        <f>'Formato 7 b)'!D11</f>
        <v>16622540.931780003</v>
      </c>
      <c r="S5" s="18">
        <f>'Formato 7 b)'!E11</f>
        <v>17453667.978369005</v>
      </c>
      <c r="T5" s="18">
        <f>'Formato 7 b)'!F11</f>
        <v>18326351.377287455</v>
      </c>
      <c r="U5" s="18">
        <f>'Formato 7 b)'!G11</f>
        <v>19242668.94615183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5686613.9610000001</v>
      </c>
      <c r="Q6" s="18">
        <f>'Formato 7 b)'!C12</f>
        <v>5970944.6590500008</v>
      </c>
      <c r="R6" s="18">
        <f>'Formato 7 b)'!D12</f>
        <v>6269491.8920025015</v>
      </c>
      <c r="S6" s="18">
        <f>'Formato 7 b)'!E12</f>
        <v>6582966.4866026267</v>
      </c>
      <c r="T6" s="18">
        <f>'Formato 7 b)'!F12</f>
        <v>6912114.8109327583</v>
      </c>
      <c r="U6" s="18">
        <f>'Formato 7 b)'!G12</f>
        <v>7257720.5514793964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131390.32200000001</v>
      </c>
      <c r="Q7" s="18">
        <f>'Formato 7 b)'!C13</f>
        <v>137959.83810000002</v>
      </c>
      <c r="R7" s="18">
        <f>'Formato 7 b)'!D13</f>
        <v>144857.83000500003</v>
      </c>
      <c r="S7" s="18">
        <f>'Formato 7 b)'!E13</f>
        <v>152100.72150525003</v>
      </c>
      <c r="T7" s="18">
        <f>'Formato 7 b)'!F13</f>
        <v>159705.75758051252</v>
      </c>
      <c r="U7" s="18">
        <f>'Formato 7 b)'!G13</f>
        <v>167691.04545953815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135873201.82800001</v>
      </c>
      <c r="Q22" s="18">
        <f>'Formato 7 b)'!C30</f>
        <v>142666861.91940001</v>
      </c>
      <c r="R22" s="18">
        <f>'Formato 7 b)'!D30</f>
        <v>149800205.01537001</v>
      </c>
      <c r="S22" s="18">
        <f>'Formato 7 b)'!E30</f>
        <v>157290215.26613855</v>
      </c>
      <c r="T22" s="18">
        <f>'Formato 7 b)'!F30</f>
        <v>165154726.02944547</v>
      </c>
      <c r="U22" s="18">
        <f>'Formato 7 b)'!G30</f>
        <v>173412462.33091775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abSelected="1" zoomScale="90" zoomScaleNormal="90" workbookViewId="0">
      <selection activeCell="A3" sqref="C3:D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3" t="s">
        <v>466</v>
      </c>
      <c r="B1" s="173"/>
      <c r="C1" s="173"/>
      <c r="D1" s="173"/>
      <c r="E1" s="173"/>
      <c r="F1" s="173"/>
      <c r="G1" s="173"/>
    </row>
    <row r="2" spans="1:7" x14ac:dyDescent="0.2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x14ac:dyDescent="0.25">
      <c r="A3" s="158" t="s">
        <v>467</v>
      </c>
      <c r="B3" s="159"/>
      <c r="C3" s="159"/>
      <c r="D3" s="159"/>
      <c r="E3" s="159"/>
      <c r="F3" s="159"/>
      <c r="G3" s="160"/>
    </row>
    <row r="4" spans="1:7" x14ac:dyDescent="0.2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0" t="s">
        <v>3288</v>
      </c>
      <c r="B5" s="188" t="str">
        <f>ANIO5R</f>
        <v>2014 ¹ (c)</v>
      </c>
      <c r="C5" s="188" t="str">
        <f>ANIO4R</f>
        <v>2015 ¹ (c)</v>
      </c>
      <c r="D5" s="188" t="str">
        <f>ANIO3R</f>
        <v>2016 ¹ (c)</v>
      </c>
      <c r="E5" s="188" t="str">
        <f>ANIO2R</f>
        <v>2017 ¹ (c)</v>
      </c>
      <c r="F5" s="188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9"/>
      <c r="C6" s="189"/>
      <c r="D6" s="189"/>
      <c r="E6" s="189"/>
      <c r="F6" s="189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97906433.390000001</v>
      </c>
      <c r="D7" s="59">
        <f t="shared" si="0"/>
        <v>97037069.319999993</v>
      </c>
      <c r="E7" s="59">
        <f t="shared" si="0"/>
        <v>99335220.649999991</v>
      </c>
      <c r="F7" s="59">
        <f t="shared" si="0"/>
        <v>121553167.36</v>
      </c>
      <c r="G7" s="59">
        <f t="shared" si="0"/>
        <v>42790818.670000002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4190484.93</v>
      </c>
      <c r="D11" s="60">
        <v>4689529.4000000004</v>
      </c>
      <c r="E11" s="60">
        <v>5011354.09</v>
      </c>
      <c r="F11" s="60">
        <v>5080156.5</v>
      </c>
      <c r="G11" s="60">
        <v>1456838</v>
      </c>
    </row>
    <row r="12" spans="1:7" x14ac:dyDescent="0.25">
      <c r="A12" s="53" t="s">
        <v>473</v>
      </c>
      <c r="B12" s="60">
        <v>0</v>
      </c>
      <c r="C12" s="60">
        <v>4704217.95</v>
      </c>
      <c r="D12" s="60">
        <v>4178279.15</v>
      </c>
      <c r="E12" s="60">
        <v>3886367.88</v>
      </c>
      <c r="F12" s="60">
        <v>4459346.4400000004</v>
      </c>
      <c r="G12" s="60">
        <v>1210661.3500000001</v>
      </c>
    </row>
    <row r="13" spans="1:7" x14ac:dyDescent="0.25">
      <c r="A13" s="56" t="s">
        <v>474</v>
      </c>
      <c r="B13" s="60">
        <v>0</v>
      </c>
      <c r="C13" s="60">
        <v>13784530.970000001</v>
      </c>
      <c r="D13" s="60">
        <v>5594370.5999999996</v>
      </c>
      <c r="E13" s="60">
        <v>4844748.7699999996</v>
      </c>
      <c r="F13" s="60">
        <v>4153820.31</v>
      </c>
      <c r="G13" s="60">
        <v>490528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4902411.54</v>
      </c>
      <c r="D15" s="60">
        <v>3980283.39</v>
      </c>
      <c r="E15" s="60">
        <v>7118747.5700000003</v>
      </c>
      <c r="F15" s="60">
        <v>8163810.7199999997</v>
      </c>
      <c r="G15" s="60">
        <v>111929.47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70324788</v>
      </c>
      <c r="D17" s="60">
        <v>73841025.959999993</v>
      </c>
      <c r="E17" s="60">
        <v>76056256.739999995</v>
      </c>
      <c r="F17" s="60">
        <v>98337944.5</v>
      </c>
      <c r="G17" s="60">
        <v>37932280.32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4753580.82</v>
      </c>
      <c r="E19" s="60">
        <v>2417745.6</v>
      </c>
      <c r="F19" s="60">
        <v>1358088.89</v>
      </c>
      <c r="G19" s="60">
        <v>1588581.53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97906433.390000001</v>
      </c>
      <c r="D31" s="61">
        <f t="shared" si="3"/>
        <v>97037069.319999993</v>
      </c>
      <c r="E31" s="61">
        <f t="shared" si="3"/>
        <v>99335220.649999991</v>
      </c>
      <c r="F31" s="61">
        <f t="shared" si="3"/>
        <v>121553167.36</v>
      </c>
      <c r="G31" s="61">
        <f t="shared" si="3"/>
        <v>42790818.670000002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7" t="s">
        <v>3292</v>
      </c>
      <c r="B39" s="187"/>
      <c r="C39" s="187"/>
      <c r="D39" s="187"/>
      <c r="E39" s="187"/>
      <c r="F39" s="187"/>
      <c r="G39" s="187"/>
    </row>
    <row r="40" spans="1:7" ht="15" customHeight="1" x14ac:dyDescent="0.25">
      <c r="A40" s="187" t="s">
        <v>3293</v>
      </c>
      <c r="B40" s="187"/>
      <c r="C40" s="187"/>
      <c r="D40" s="187"/>
      <c r="E40" s="187"/>
      <c r="F40" s="187"/>
      <c r="G40" s="187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45" right="0.26" top="0.74803149606299213" bottom="0.74803149606299213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97906433.390000001</v>
      </c>
      <c r="R2" s="18">
        <f>'Formato 7 c)'!D7</f>
        <v>97037069.319999993</v>
      </c>
      <c r="S2" s="18">
        <f>'Formato 7 c)'!E7</f>
        <v>99335220.649999991</v>
      </c>
      <c r="T2" s="18">
        <f>'Formato 7 c)'!F7</f>
        <v>121553167.36</v>
      </c>
      <c r="U2" s="18">
        <f>'Formato 7 c)'!G7</f>
        <v>42790818.670000002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4190484.93</v>
      </c>
      <c r="R6" s="18">
        <f>'Formato 7 c)'!D11</f>
        <v>4689529.4000000004</v>
      </c>
      <c r="S6" s="18">
        <f>'Formato 7 c)'!E11</f>
        <v>5011354.09</v>
      </c>
      <c r="T6" s="18">
        <f>'Formato 7 c)'!F11</f>
        <v>5080156.5</v>
      </c>
      <c r="U6" s="18">
        <f>'Formato 7 c)'!G11</f>
        <v>1456838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4704217.95</v>
      </c>
      <c r="R7" s="18">
        <f>'Formato 7 c)'!D12</f>
        <v>4178279.15</v>
      </c>
      <c r="S7" s="18">
        <f>'Formato 7 c)'!E12</f>
        <v>3886367.88</v>
      </c>
      <c r="T7" s="18">
        <f>'Formato 7 c)'!F12</f>
        <v>4459346.4400000004</v>
      </c>
      <c r="U7" s="18">
        <f>'Formato 7 c)'!G12</f>
        <v>1210661.3500000001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13784530.970000001</v>
      </c>
      <c r="R8" s="18">
        <f>'Formato 7 c)'!D13</f>
        <v>5594370.5999999996</v>
      </c>
      <c r="S8" s="18">
        <f>'Formato 7 c)'!E13</f>
        <v>4844748.7699999996</v>
      </c>
      <c r="T8" s="18">
        <f>'Formato 7 c)'!F13</f>
        <v>4153820.31</v>
      </c>
      <c r="U8" s="18">
        <f>'Formato 7 c)'!G13</f>
        <v>490528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4902411.54</v>
      </c>
      <c r="R10" s="18">
        <f>'Formato 7 c)'!D15</f>
        <v>3980283.39</v>
      </c>
      <c r="S10" s="18">
        <f>'Formato 7 c)'!E15</f>
        <v>7118747.5700000003</v>
      </c>
      <c r="T10" s="18">
        <f>'Formato 7 c)'!F15</f>
        <v>8163810.7199999997</v>
      </c>
      <c r="U10" s="18">
        <f>'Formato 7 c)'!G15</f>
        <v>111929.47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70324788</v>
      </c>
      <c r="R12" s="18">
        <f>'Formato 7 c)'!D17</f>
        <v>73841025.959999993</v>
      </c>
      <c r="S12" s="18">
        <f>'Formato 7 c)'!E17</f>
        <v>76056256.739999995</v>
      </c>
      <c r="T12" s="18">
        <f>'Formato 7 c)'!F17</f>
        <v>98337944.5</v>
      </c>
      <c r="U12" s="18">
        <f>'Formato 7 c)'!G17</f>
        <v>37932280.32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4753580.82</v>
      </c>
      <c r="S14" s="18">
        <f>'Formato 7 c)'!E19</f>
        <v>2417745.6</v>
      </c>
      <c r="T14" s="18">
        <f>'Formato 7 c)'!F19</f>
        <v>1358088.89</v>
      </c>
      <c r="U14" s="18">
        <f>'Formato 7 c)'!G19</f>
        <v>1588581.53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97906433.390000001</v>
      </c>
      <c r="R23" s="18">
        <f>'Formato 7 c)'!D31</f>
        <v>97037069.319999993</v>
      </c>
      <c r="S23" s="18">
        <f>'Formato 7 c)'!E31</f>
        <v>99335220.649999991</v>
      </c>
      <c r="T23" s="18">
        <f>'Formato 7 c)'!F31</f>
        <v>121553167.36</v>
      </c>
      <c r="U23" s="18">
        <f>'Formato 7 c)'!G31</f>
        <v>42790818.670000002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abSelected="1" zoomScale="90" zoomScaleNormal="90" workbookViewId="0">
      <selection activeCell="A3" sqref="C3:D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3" t="s">
        <v>490</v>
      </c>
      <c r="B1" s="173"/>
      <c r="C1" s="173"/>
      <c r="D1" s="173"/>
      <c r="E1" s="173"/>
      <c r="F1" s="173"/>
      <c r="G1" s="173"/>
    </row>
    <row r="2" spans="1:7" x14ac:dyDescent="0.25">
      <c r="A2" s="155" t="str">
        <f>ENTIDAD</f>
        <v>Municipio de León, Gobierno del Estado de Guanajuato</v>
      </c>
      <c r="B2" s="156"/>
      <c r="C2" s="156"/>
      <c r="D2" s="156"/>
      <c r="E2" s="156"/>
      <c r="F2" s="156"/>
      <c r="G2" s="157"/>
    </row>
    <row r="3" spans="1:7" x14ac:dyDescent="0.25">
      <c r="A3" s="158" t="s">
        <v>491</v>
      </c>
      <c r="B3" s="159"/>
      <c r="C3" s="159"/>
      <c r="D3" s="159"/>
      <c r="E3" s="159"/>
      <c r="F3" s="159"/>
      <c r="G3" s="160"/>
    </row>
    <row r="4" spans="1:7" x14ac:dyDescent="0.25">
      <c r="A4" s="164" t="s">
        <v>118</v>
      </c>
      <c r="B4" s="165"/>
      <c r="C4" s="165"/>
      <c r="D4" s="165"/>
      <c r="E4" s="165"/>
      <c r="F4" s="165"/>
      <c r="G4" s="166"/>
    </row>
    <row r="5" spans="1:7" x14ac:dyDescent="0.25">
      <c r="A5" s="192" t="s">
        <v>3142</v>
      </c>
      <c r="B5" s="188" t="str">
        <f>ANIO5R</f>
        <v>2014 ¹ (c)</v>
      </c>
      <c r="C5" s="188" t="str">
        <f>ANIO4R</f>
        <v>2015 ¹ (c)</v>
      </c>
      <c r="D5" s="188" t="str">
        <f>ANIO3R</f>
        <v>2016 ¹ (c)</v>
      </c>
      <c r="E5" s="188" t="str">
        <f>ANIO2R</f>
        <v>2017 ¹ (c)</v>
      </c>
      <c r="F5" s="188" t="str">
        <f>ANIO1R</f>
        <v>2018 ¹ (c)</v>
      </c>
      <c r="G5" s="51">
        <f>ANIO_INFORME</f>
        <v>2019</v>
      </c>
    </row>
    <row r="6" spans="1:7" ht="32.1" customHeight="1" x14ac:dyDescent="0.25">
      <c r="A6" s="193"/>
      <c r="B6" s="189"/>
      <c r="C6" s="189"/>
      <c r="D6" s="189"/>
      <c r="E6" s="189"/>
      <c r="F6" s="189"/>
      <c r="G6" s="88" t="s">
        <v>3295</v>
      </c>
    </row>
    <row r="7" spans="1:7" x14ac:dyDescent="0.25">
      <c r="A7" s="52" t="s">
        <v>492</v>
      </c>
      <c r="B7" s="59">
        <f>SUM(B8:B16)</f>
        <v>0</v>
      </c>
      <c r="C7" s="59">
        <f t="shared" ref="C7:G7" si="0">SUM(C8:C16)</f>
        <v>94008165.409999982</v>
      </c>
      <c r="D7" s="59">
        <f t="shared" si="0"/>
        <v>94168010.099999979</v>
      </c>
      <c r="E7" s="59">
        <f t="shared" si="0"/>
        <v>86784358.800000012</v>
      </c>
      <c r="F7" s="59">
        <f t="shared" si="0"/>
        <v>102595719.59999999</v>
      </c>
      <c r="G7" s="59">
        <f t="shared" si="0"/>
        <v>30136094.310000002</v>
      </c>
    </row>
    <row r="8" spans="1:7" x14ac:dyDescent="0.25">
      <c r="A8" s="53" t="s">
        <v>454</v>
      </c>
      <c r="B8" s="60">
        <v>0</v>
      </c>
      <c r="C8" s="60">
        <v>62153812.229999997</v>
      </c>
      <c r="D8" s="60">
        <v>65243197.509999998</v>
      </c>
      <c r="E8" s="60">
        <v>64089130.840000004</v>
      </c>
      <c r="F8" s="60">
        <v>79477548.629999995</v>
      </c>
      <c r="G8" s="60">
        <v>24674210.27</v>
      </c>
    </row>
    <row r="9" spans="1:7" x14ac:dyDescent="0.25">
      <c r="A9" s="53" t="s">
        <v>455</v>
      </c>
      <c r="B9" s="60">
        <v>0</v>
      </c>
      <c r="C9" s="60">
        <v>6124001.5</v>
      </c>
      <c r="D9" s="60">
        <v>6166466.75</v>
      </c>
      <c r="E9" s="60">
        <v>4761925.42</v>
      </c>
      <c r="F9" s="60">
        <v>4675661.41</v>
      </c>
      <c r="G9" s="60">
        <v>1337657.1400000001</v>
      </c>
    </row>
    <row r="10" spans="1:7" x14ac:dyDescent="0.25">
      <c r="A10" s="53" t="s">
        <v>456</v>
      </c>
      <c r="B10" s="60">
        <v>0</v>
      </c>
      <c r="C10" s="60">
        <v>16119762.6</v>
      </c>
      <c r="D10" s="60">
        <v>16407902.07</v>
      </c>
      <c r="E10" s="60">
        <v>14440263.029999999</v>
      </c>
      <c r="F10" s="60">
        <v>13825398.279999999</v>
      </c>
      <c r="G10" s="60">
        <v>3135503.03</v>
      </c>
    </row>
    <row r="11" spans="1:7" x14ac:dyDescent="0.25">
      <c r="A11" s="53" t="s">
        <v>457</v>
      </c>
      <c r="B11" s="60">
        <v>0</v>
      </c>
      <c r="C11" s="60">
        <v>5863730.5300000003</v>
      </c>
      <c r="D11" s="60">
        <v>4186231.36</v>
      </c>
      <c r="E11" s="60">
        <v>2867997.06</v>
      </c>
      <c r="F11" s="60">
        <v>3771208.42</v>
      </c>
      <c r="G11" s="60">
        <v>846977.43</v>
      </c>
    </row>
    <row r="12" spans="1:7" x14ac:dyDescent="0.25">
      <c r="A12" s="53" t="s">
        <v>458</v>
      </c>
      <c r="B12" s="60">
        <v>0</v>
      </c>
      <c r="C12" s="60">
        <v>3206231.47</v>
      </c>
      <c r="D12" s="60">
        <v>1867782.49</v>
      </c>
      <c r="E12" s="60">
        <v>625042.44999999995</v>
      </c>
      <c r="F12" s="60">
        <v>845902.86</v>
      </c>
      <c r="G12" s="60">
        <v>141746.44</v>
      </c>
    </row>
    <row r="13" spans="1:7" x14ac:dyDescent="0.25">
      <c r="A13" s="53" t="s">
        <v>459</v>
      </c>
      <c r="B13" s="60">
        <v>0</v>
      </c>
      <c r="C13" s="60">
        <v>540627.07999999996</v>
      </c>
      <c r="D13" s="60">
        <v>296429.92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7666901.4700000007</v>
      </c>
      <c r="F18" s="61">
        <f t="shared" si="1"/>
        <v>8163810.6400000006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387066.3</v>
      </c>
      <c r="F20" s="60">
        <v>397903.24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274666.42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3200532.18</v>
      </c>
      <c r="F22" s="60">
        <v>4073307.66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354930.54</v>
      </c>
      <c r="F23" s="60">
        <v>3692599.74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3449706.03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94008165.409999982</v>
      </c>
      <c r="D29" s="60">
        <f t="shared" si="2"/>
        <v>94168010.099999979</v>
      </c>
      <c r="E29" s="60">
        <f t="shared" si="2"/>
        <v>94451260.270000011</v>
      </c>
      <c r="F29" s="60">
        <f t="shared" si="2"/>
        <v>110759530.23999999</v>
      </c>
      <c r="G29" s="60">
        <f t="shared" si="2"/>
        <v>30136094.310000002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7" t="s">
        <v>3292</v>
      </c>
      <c r="B32" s="187"/>
      <c r="C32" s="187"/>
      <c r="D32" s="187"/>
      <c r="E32" s="187"/>
      <c r="F32" s="187"/>
      <c r="G32" s="187"/>
    </row>
    <row r="33" spans="1:7" x14ac:dyDescent="0.25">
      <c r="A33" s="187" t="s">
        <v>3293</v>
      </c>
      <c r="B33" s="187"/>
      <c r="C33" s="187"/>
      <c r="D33" s="187"/>
      <c r="E33" s="187"/>
      <c r="F33" s="187"/>
      <c r="G33" s="18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55000000000000004" right="0.38" top="0.74803149606299213" bottom="0.74803149606299213" header="0.31496062992125984" footer="0.31496062992125984"/>
  <pageSetup scale="65" orientation="landscape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94008165.409999982</v>
      </c>
      <c r="R2" s="18">
        <f>'Formato 7 d)'!D7</f>
        <v>94168010.099999979</v>
      </c>
      <c r="S2" s="18">
        <f>'Formato 7 d)'!E7</f>
        <v>86784358.800000012</v>
      </c>
      <c r="T2" s="18">
        <f>'Formato 7 d)'!F7</f>
        <v>102595719.59999999</v>
      </c>
      <c r="U2" s="18">
        <f>'Formato 7 d)'!G7</f>
        <v>30136094.310000002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62153812.229999997</v>
      </c>
      <c r="R3" s="18">
        <f>'Formato 7 d)'!D8</f>
        <v>65243197.509999998</v>
      </c>
      <c r="S3" s="18">
        <f>'Formato 7 d)'!E8</f>
        <v>64089130.840000004</v>
      </c>
      <c r="T3" s="18">
        <f>'Formato 7 d)'!F8</f>
        <v>79477548.629999995</v>
      </c>
      <c r="U3" s="18">
        <f>'Formato 7 d)'!G8</f>
        <v>24674210.27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6124001.5</v>
      </c>
      <c r="R4" s="18">
        <f>'Formato 7 d)'!D9</f>
        <v>6166466.75</v>
      </c>
      <c r="S4" s="18">
        <f>'Formato 7 d)'!E9</f>
        <v>4761925.42</v>
      </c>
      <c r="T4" s="18">
        <f>'Formato 7 d)'!F9</f>
        <v>4675661.41</v>
      </c>
      <c r="U4" s="18">
        <f>'Formato 7 d)'!G9</f>
        <v>1337657.1400000001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16119762.6</v>
      </c>
      <c r="R5" s="18">
        <f>'Formato 7 d)'!D10</f>
        <v>16407902.07</v>
      </c>
      <c r="S5" s="18">
        <f>'Formato 7 d)'!E10</f>
        <v>14440263.029999999</v>
      </c>
      <c r="T5" s="18">
        <f>'Formato 7 d)'!F10</f>
        <v>13825398.279999999</v>
      </c>
      <c r="U5" s="18">
        <f>'Formato 7 d)'!G10</f>
        <v>3135503.03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5863730.5300000003</v>
      </c>
      <c r="R6" s="18">
        <f>'Formato 7 d)'!D11</f>
        <v>4186231.36</v>
      </c>
      <c r="S6" s="18">
        <f>'Formato 7 d)'!E11</f>
        <v>2867997.06</v>
      </c>
      <c r="T6" s="18">
        <f>'Formato 7 d)'!F11</f>
        <v>3771208.42</v>
      </c>
      <c r="U6" s="18">
        <f>'Formato 7 d)'!G11</f>
        <v>846977.43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3206231.47</v>
      </c>
      <c r="R7" s="18">
        <f>'Formato 7 d)'!D12</f>
        <v>1867782.49</v>
      </c>
      <c r="S7" s="18">
        <f>'Formato 7 d)'!E12</f>
        <v>625042.44999999995</v>
      </c>
      <c r="T7" s="18">
        <f>'Formato 7 d)'!F12</f>
        <v>845902.86</v>
      </c>
      <c r="U7" s="18">
        <f>'Formato 7 d)'!G12</f>
        <v>141746.44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540627.07999999996</v>
      </c>
      <c r="R8" s="18">
        <f>'Formato 7 d)'!D13</f>
        <v>296429.92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7666901.4700000007</v>
      </c>
      <c r="T12" s="18">
        <f>'Formato 7 d)'!F18</f>
        <v>8163810.6400000006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387066.3</v>
      </c>
      <c r="T14" s="18">
        <f>'Formato 7 d)'!F20</f>
        <v>397903.24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274666.42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3200532.18</v>
      </c>
      <c r="T16" s="18">
        <f>'Formato 7 d)'!F22</f>
        <v>4073307.66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354930.54</v>
      </c>
      <c r="T17" s="18">
        <f>'Formato 7 d)'!F23</f>
        <v>3692599.74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3449706.03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94008165.409999982</v>
      </c>
      <c r="R22" s="18">
        <f>'Formato 7 d)'!D29</f>
        <v>94168010.099999979</v>
      </c>
      <c r="S22" s="18">
        <f>'Formato 7 d)'!E29</f>
        <v>94451260.270000011</v>
      </c>
      <c r="T22" s="18">
        <f>'Formato 7 d)'!F29</f>
        <v>110759530.23999999</v>
      </c>
      <c r="U22" s="18">
        <f>'Formato 7 d)'!G29</f>
        <v>30136094.310000002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abSelected="1" zoomScale="90" zoomScaleNormal="90" workbookViewId="0">
      <selection activeCell="A3" sqref="C3:D3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7" t="s">
        <v>495</v>
      </c>
      <c r="B1" s="167"/>
      <c r="C1" s="167"/>
      <c r="D1" s="167"/>
      <c r="E1" s="167"/>
      <c r="F1" s="167"/>
      <c r="G1" s="111"/>
    </row>
    <row r="2" spans="1:7" x14ac:dyDescent="0.25">
      <c r="A2" s="155" t="str">
        <f>ENTE_PUBLICO</f>
        <v>SISTEMA PARA EL DESARROLLO INTEGRAL DE FAMILIA EN EL MUNICIPIO DE LEÓN, GTO, Gobierno del Estado de Guanajuato</v>
      </c>
      <c r="B2" s="156"/>
      <c r="C2" s="156"/>
      <c r="D2" s="156"/>
      <c r="E2" s="156"/>
      <c r="F2" s="157"/>
    </row>
    <row r="3" spans="1:7" x14ac:dyDescent="0.25">
      <c r="A3" s="164" t="s">
        <v>496</v>
      </c>
      <c r="B3" s="165"/>
      <c r="C3" s="165"/>
      <c r="D3" s="165"/>
      <c r="E3" s="165"/>
      <c r="F3" s="166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A3" sqref="C3:D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7" t="s">
        <v>545</v>
      </c>
      <c r="B1" s="167"/>
      <c r="C1" s="167"/>
      <c r="D1" s="167"/>
      <c r="E1" s="167"/>
      <c r="F1" s="167"/>
    </row>
    <row r="2" spans="1:6" x14ac:dyDescent="0.25">
      <c r="A2" s="155" t="str">
        <f>ENTE_PUBLICO_A</f>
        <v>SISTEMA PARA EL DESARROLLO INTEGRAL DE FAMILIA EN EL MUNICIPIO DE LEÓN, GTO, Gobierno del Estado de Guanajuato (a)</v>
      </c>
      <c r="B2" s="156"/>
      <c r="C2" s="156"/>
      <c r="D2" s="156"/>
      <c r="E2" s="156"/>
      <c r="F2" s="157"/>
    </row>
    <row r="3" spans="1:6" x14ac:dyDescent="0.25">
      <c r="A3" s="158" t="s">
        <v>117</v>
      </c>
      <c r="B3" s="159"/>
      <c r="C3" s="159"/>
      <c r="D3" s="159"/>
      <c r="E3" s="159"/>
      <c r="F3" s="160"/>
    </row>
    <row r="4" spans="1:6" x14ac:dyDescent="0.25">
      <c r="A4" s="161" t="str">
        <f>PERIODO_INFORME</f>
        <v>Al 31 de diciembre de 2018 y al 30 de marzo de 2019 (b)</v>
      </c>
      <c r="B4" s="162"/>
      <c r="C4" s="162"/>
      <c r="D4" s="162"/>
      <c r="E4" s="162"/>
      <c r="F4" s="163"/>
    </row>
    <row r="5" spans="1:6" x14ac:dyDescent="0.25">
      <c r="A5" s="164" t="s">
        <v>118</v>
      </c>
      <c r="B5" s="165"/>
      <c r="C5" s="165"/>
      <c r="D5" s="165"/>
      <c r="E5" s="165"/>
      <c r="F5" s="166"/>
    </row>
    <row r="6" spans="1:6" s="3" customFormat="1" ht="30" x14ac:dyDescent="0.2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23802480.340000004</v>
      </c>
      <c r="C9" s="60">
        <f>SUM(C10:C16)</f>
        <v>24303822.5</v>
      </c>
      <c r="D9" s="100" t="s">
        <v>54</v>
      </c>
      <c r="E9" s="60">
        <f>SUM(E10:E18)</f>
        <v>3699884.12</v>
      </c>
      <c r="F9" s="60">
        <f>SUM(F10:F18)</f>
        <v>7881025.1300000008</v>
      </c>
    </row>
    <row r="10" spans="1:6" x14ac:dyDescent="0.25">
      <c r="A10" s="96" t="s">
        <v>4</v>
      </c>
      <c r="B10" s="60">
        <v>107597.28</v>
      </c>
      <c r="C10" s="60">
        <v>136647.28</v>
      </c>
      <c r="D10" s="101" t="s">
        <v>55</v>
      </c>
      <c r="E10" s="60">
        <v>1716.01</v>
      </c>
      <c r="F10" s="60">
        <v>36102.71</v>
      </c>
    </row>
    <row r="11" spans="1:6" x14ac:dyDescent="0.25">
      <c r="A11" s="96" t="s">
        <v>5</v>
      </c>
      <c r="B11" s="60">
        <v>23335774.420000002</v>
      </c>
      <c r="C11" s="60">
        <v>24166628.609999999</v>
      </c>
      <c r="D11" s="101" t="s">
        <v>56</v>
      </c>
      <c r="E11" s="60">
        <v>121788.76</v>
      </c>
      <c r="F11" s="60">
        <v>1792935.23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359108.64</v>
      </c>
      <c r="C13" s="60">
        <v>546.61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178425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180438.77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2802783.07</v>
      </c>
      <c r="F16" s="60">
        <v>5040831.45</v>
      </c>
    </row>
    <row r="17" spans="1:6" x14ac:dyDescent="0.25">
      <c r="A17" s="95" t="s">
        <v>11</v>
      </c>
      <c r="B17" s="60">
        <f>SUM(B18:B24)</f>
        <v>10233992.610000001</v>
      </c>
      <c r="C17" s="60">
        <f>SUM(C18:C24)</f>
        <v>722737.56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414732.51</v>
      </c>
      <c r="F18" s="60">
        <v>1011155.74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48993.06</v>
      </c>
      <c r="C20" s="60">
        <v>132737.56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10184999.550000001</v>
      </c>
      <c r="C21" s="60">
        <v>590000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68430.720000000001</v>
      </c>
      <c r="C25" s="60">
        <f>SUM(C26:C30)</f>
        <v>66739.429999999993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68430.720000000001</v>
      </c>
      <c r="C26" s="60">
        <v>66739.429999999993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2126602.36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2126602.36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34104903.670000002</v>
      </c>
      <c r="C47" s="61">
        <f>C9+C17+C25+C31+C38+C41</f>
        <v>25093299.489999998</v>
      </c>
      <c r="D47" s="99" t="s">
        <v>91</v>
      </c>
      <c r="E47" s="61">
        <f>E9+E19+E23+E26+E27+E31+E38+E42</f>
        <v>5826486.4800000004</v>
      </c>
      <c r="F47" s="61">
        <f>F9+F19+F23+F26+F27+F31+F38+F42</f>
        <v>7881025.1300000008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70000</v>
      </c>
      <c r="C51" s="60">
        <v>70000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78466690.75</v>
      </c>
      <c r="C52" s="60">
        <v>78466690.75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37142389.710000001</v>
      </c>
      <c r="C53" s="60">
        <v>37000643.270000003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19087.8</v>
      </c>
      <c r="C54" s="60">
        <v>19087.8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-47617283.549999997</v>
      </c>
      <c r="C55" s="60">
        <v>-46611393.280000001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5826486.4800000004</v>
      </c>
      <c r="F59" s="61">
        <f>F47+F57</f>
        <v>7881025.1300000008</v>
      </c>
    </row>
    <row r="60" spans="1:6" x14ac:dyDescent="0.25">
      <c r="A60" s="55" t="s">
        <v>50</v>
      </c>
      <c r="B60" s="61">
        <f>SUM(B50:B58)</f>
        <v>68080884.710000008</v>
      </c>
      <c r="C60" s="61">
        <f>SUM(C50:C58)</f>
        <v>68945028.540000007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102185788.38000001</v>
      </c>
      <c r="C62" s="61">
        <f>SUM(C47+C60)</f>
        <v>94038328.030000001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79700086</v>
      </c>
      <c r="F63" s="77">
        <f>SUM(F64:F66)</f>
        <v>79700086</v>
      </c>
    </row>
    <row r="64" spans="1:6" x14ac:dyDescent="0.25">
      <c r="A64" s="54"/>
      <c r="B64" s="54"/>
      <c r="C64" s="54"/>
      <c r="D64" s="103" t="s">
        <v>103</v>
      </c>
      <c r="E64" s="77">
        <v>79700086</v>
      </c>
      <c r="F64" s="77">
        <v>79700086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16659215.9</v>
      </c>
      <c r="F68" s="77">
        <f>SUM(F69:F73)</f>
        <v>6457216.9000000004</v>
      </c>
    </row>
    <row r="69" spans="1:6" x14ac:dyDescent="0.25">
      <c r="A69" s="12"/>
      <c r="B69" s="54"/>
      <c r="C69" s="54"/>
      <c r="D69" s="103" t="s">
        <v>107</v>
      </c>
      <c r="E69" s="77">
        <v>10201999</v>
      </c>
      <c r="F69" s="77">
        <v>3863713.01</v>
      </c>
    </row>
    <row r="70" spans="1:6" x14ac:dyDescent="0.25">
      <c r="A70" s="12"/>
      <c r="B70" s="54"/>
      <c r="C70" s="54"/>
      <c r="D70" s="103" t="s">
        <v>108</v>
      </c>
      <c r="E70" s="77">
        <v>6457216.9000000004</v>
      </c>
      <c r="F70" s="77">
        <v>2593503.89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96359301.900000006</v>
      </c>
      <c r="F79" s="61">
        <f>F63+F68+F75</f>
        <v>86157302.900000006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102185788.38000001</v>
      </c>
      <c r="F81" s="61">
        <f>F59+F79</f>
        <v>94038328.030000001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0866141732283472" right="0.70866141732283472" top="0.55000000000000004" bottom="0.52" header="0.31496062992125984" footer="0.31496062992125984"/>
  <pageSetup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23802480.340000004</v>
      </c>
      <c r="Q4" s="18">
        <f>'Formato 1'!C9</f>
        <v>24303822.5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107597.28</v>
      </c>
      <c r="Q5" s="18">
        <f>'Formato 1'!C10</f>
        <v>136647.28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23335774.420000002</v>
      </c>
      <c r="Q6" s="18">
        <f>'Formato 1'!C11</f>
        <v>24166628.609999999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359108.64</v>
      </c>
      <c r="Q8" s="18">
        <f>'Formato 1'!C13</f>
        <v>546.61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10233992.610000001</v>
      </c>
      <c r="Q12" s="18">
        <f>'Formato 1'!C17</f>
        <v>722737.56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48993.06</v>
      </c>
      <c r="Q15" s="18">
        <f>'Formato 1'!C20</f>
        <v>132737.56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10184999.550000001</v>
      </c>
      <c r="Q16" s="18">
        <f>'Formato 1'!C21</f>
        <v>590000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68430.720000000001</v>
      </c>
      <c r="Q20" s="18">
        <f>'Formato 1'!C25</f>
        <v>66739.429999999993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68430.720000000001</v>
      </c>
      <c r="Q21" s="18">
        <f>'Formato 1'!C26</f>
        <v>66739.429999999993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34104903.670000002</v>
      </c>
      <c r="Q42" s="18">
        <f>'Formato 1'!C47</f>
        <v>25093299.489999998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70000</v>
      </c>
      <c r="Q45">
        <f>'Formato 1'!C51</f>
        <v>70000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78466690.75</v>
      </c>
      <c r="Q46">
        <f>'Formato 1'!C52</f>
        <v>78466690.75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37142389.710000001</v>
      </c>
      <c r="Q47">
        <f>'Formato 1'!C53</f>
        <v>37000643.270000003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19087.8</v>
      </c>
      <c r="Q48">
        <f>'Formato 1'!C54</f>
        <v>19087.8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-47617283.549999997</v>
      </c>
      <c r="Q49">
        <f>'Formato 1'!C55</f>
        <v>-46611393.280000001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68080884.710000008</v>
      </c>
      <c r="Q53">
        <f>'Formato 1'!C60</f>
        <v>68945028.540000007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102185788.38000001</v>
      </c>
      <c r="Q54">
        <f>'Formato 1'!C62</f>
        <v>94038328.030000001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3699884.12</v>
      </c>
      <c r="Q57">
        <f>'Formato 1'!F9</f>
        <v>7881025.1300000008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1716.01</v>
      </c>
      <c r="Q58">
        <f>'Formato 1'!F10</f>
        <v>36102.71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121788.76</v>
      </c>
      <c r="Q59">
        <f>'Formato 1'!F11</f>
        <v>1792935.23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178425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180438.77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2802783.07</v>
      </c>
      <c r="Q64">
        <f>'Formato 1'!F16</f>
        <v>5040831.45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414732.51</v>
      </c>
      <c r="Q66">
        <f>'Formato 1'!F18</f>
        <v>1011155.74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2126602.36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2126602.36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5826486.4800000004</v>
      </c>
      <c r="Q95">
        <f>'Formato 1'!F47</f>
        <v>7881025.1300000008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5826486.4800000004</v>
      </c>
      <c r="Q104">
        <f>'Formato 1'!F59</f>
        <v>7881025.1300000008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79700086</v>
      </c>
      <c r="Q106">
        <f>'Formato 1'!F63</f>
        <v>79700086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79700086</v>
      </c>
      <c r="Q107">
        <f>'Formato 1'!F64</f>
        <v>79700086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16659215.9</v>
      </c>
      <c r="Q110">
        <f>'Formato 1'!F68</f>
        <v>6457216.9000000004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10201999</v>
      </c>
      <c r="Q111">
        <f>'Formato 1'!F69</f>
        <v>3863713.01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6457216.9000000004</v>
      </c>
      <c r="Q112">
        <f>'Formato 1'!F70</f>
        <v>2593503.89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96359301.900000006</v>
      </c>
      <c r="Q119">
        <f>'Formato 1'!F79</f>
        <v>86157302.900000006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102185788.38000001</v>
      </c>
      <c r="Q120">
        <f>'Formato 1'!F81</f>
        <v>94038328.030000001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tabSelected="1" zoomScale="90" zoomScaleNormal="90" workbookViewId="0">
      <selection activeCell="A3" sqref="C3:D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9" t="s">
        <v>544</v>
      </c>
      <c r="B1" s="169"/>
      <c r="C1" s="169"/>
      <c r="D1" s="169"/>
      <c r="E1" s="169"/>
      <c r="F1" s="169"/>
      <c r="G1" s="169"/>
      <c r="H1" s="169"/>
    </row>
    <row r="2" spans="1:9" x14ac:dyDescent="0.25">
      <c r="A2" s="155" t="str">
        <f>ENTE_PUBLICO_A</f>
        <v>SISTEMA PARA EL DESARROLLO INTEGRAL DE FAMILIA EN EL MUNICIPIO DE LEÓN, GTO, Gobierno del Estado de Guanajuato (a)</v>
      </c>
      <c r="B2" s="156"/>
      <c r="C2" s="156"/>
      <c r="D2" s="156"/>
      <c r="E2" s="156"/>
      <c r="F2" s="156"/>
      <c r="G2" s="156"/>
      <c r="H2" s="157"/>
    </row>
    <row r="3" spans="1:9" x14ac:dyDescent="0.25">
      <c r="A3" s="158" t="s">
        <v>120</v>
      </c>
      <c r="B3" s="159"/>
      <c r="C3" s="159"/>
      <c r="D3" s="159"/>
      <c r="E3" s="159"/>
      <c r="F3" s="159"/>
      <c r="G3" s="159"/>
      <c r="H3" s="160"/>
    </row>
    <row r="4" spans="1:9" x14ac:dyDescent="0.25">
      <c r="A4" s="161" t="str">
        <f>PERIODO_INFORME</f>
        <v>Al 31 de diciembre de 2018 y al 30 de marzo de 2019 (b)</v>
      </c>
      <c r="B4" s="162"/>
      <c r="C4" s="162"/>
      <c r="D4" s="162"/>
      <c r="E4" s="162"/>
      <c r="F4" s="162"/>
      <c r="G4" s="162"/>
      <c r="H4" s="163"/>
    </row>
    <row r="5" spans="1:9" x14ac:dyDescent="0.25">
      <c r="A5" s="164" t="s">
        <v>118</v>
      </c>
      <c r="B5" s="165"/>
      <c r="C5" s="165"/>
      <c r="D5" s="165"/>
      <c r="E5" s="165"/>
      <c r="F5" s="165"/>
      <c r="G5" s="165"/>
      <c r="H5" s="166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7881025.1299999999</v>
      </c>
      <c r="C18" s="132"/>
      <c r="D18" s="132"/>
      <c r="E18" s="132"/>
      <c r="F18" s="61">
        <v>5826486.4800000004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7881025.1299999999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5826486.4800000004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8" t="s">
        <v>3300</v>
      </c>
      <c r="B33" s="168"/>
      <c r="C33" s="168"/>
      <c r="D33" s="168"/>
      <c r="E33" s="168"/>
      <c r="F33" s="168"/>
      <c r="G33" s="168"/>
      <c r="H33" s="168"/>
    </row>
    <row r="34" spans="1:8" ht="12" customHeight="1" x14ac:dyDescent="0.25">
      <c r="A34" s="168"/>
      <c r="B34" s="168"/>
      <c r="C34" s="168"/>
      <c r="D34" s="168"/>
      <c r="E34" s="168"/>
      <c r="F34" s="168"/>
      <c r="G34" s="168"/>
      <c r="H34" s="168"/>
    </row>
    <row r="35" spans="1:8" ht="12" customHeight="1" x14ac:dyDescent="0.25">
      <c r="A35" s="168"/>
      <c r="B35" s="168"/>
      <c r="C35" s="168"/>
      <c r="D35" s="168"/>
      <c r="E35" s="168"/>
      <c r="F35" s="168"/>
      <c r="G35" s="168"/>
      <c r="H35" s="168"/>
    </row>
    <row r="36" spans="1:8" ht="12" customHeight="1" x14ac:dyDescent="0.25">
      <c r="A36" s="168"/>
      <c r="B36" s="168"/>
      <c r="C36" s="168"/>
      <c r="D36" s="168"/>
      <c r="E36" s="168"/>
      <c r="F36" s="168"/>
      <c r="G36" s="168"/>
      <c r="H36" s="168"/>
    </row>
    <row r="37" spans="1:8" ht="12" customHeight="1" x14ac:dyDescent="0.25">
      <c r="A37" s="168"/>
      <c r="B37" s="168"/>
      <c r="C37" s="168"/>
      <c r="D37" s="168"/>
      <c r="E37" s="168"/>
      <c r="F37" s="168"/>
      <c r="G37" s="168"/>
      <c r="H37" s="168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7881025.1299999999</v>
      </c>
      <c r="Q12" s="18"/>
      <c r="R12" s="18"/>
      <c r="S12" s="18"/>
      <c r="T12" s="18">
        <f>'Formato 2'!F18</f>
        <v>5826486.4800000004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7881025.1299999999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5826486.4800000004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tabSelected="1" zoomScale="90" zoomScaleNormal="90" workbookViewId="0">
      <selection activeCell="A3" sqref="C3:D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7" t="s">
        <v>543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11"/>
    </row>
    <row r="2" spans="1:12" x14ac:dyDescent="0.25">
      <c r="A2" s="155" t="str">
        <f>ENTE_PUBLICO_A</f>
        <v>SISTEMA PARA EL DESARROLLO INTEGRAL DE FAMILIA EN EL MUNICIPIO DE LEÓN, GTO, Gobierno del Estado de Guanajuato (a)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2" x14ac:dyDescent="0.25">
      <c r="A3" s="158" t="s">
        <v>146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2" x14ac:dyDescent="0.25">
      <c r="A4" s="161" t="str">
        <f>TRIMESTRE</f>
        <v>Del 1 de enero al 30 de marzo de 2019 (b)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2" x14ac:dyDescent="0.25">
      <c r="A5" s="158" t="s">
        <v>118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Luffi</cp:lastModifiedBy>
  <cp:lastPrinted>2019-04-24T21:33:28Z</cp:lastPrinted>
  <dcterms:created xsi:type="dcterms:W3CDTF">2017-01-19T17:59:06Z</dcterms:created>
  <dcterms:modified xsi:type="dcterms:W3CDTF">2019-04-24T21:33:30Z</dcterms:modified>
</cp:coreProperties>
</file>